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4545" tabRatio="930" activeTab="2"/>
  </bookViews>
  <sheets>
    <sheet name="Dashboard" sheetId="5" r:id="rId1"/>
    <sheet name="Template" sheetId="9" r:id="rId2"/>
    <sheet name="Revenue Drivers" sheetId="20" r:id="rId3"/>
    <sheet name="Assumptions" sheetId="12" r:id="rId4"/>
    <sheet name="Income Statement" sheetId="7" r:id="rId5"/>
    <sheet name="Balance Sheet" sheetId="2" r:id="rId6"/>
    <sheet name="FAM" sheetId="15" r:id="rId7"/>
    <sheet name="Cash Flow Statement" sheetId="1" r:id="rId8"/>
  </sheets>
  <definedNames>
    <definedName name="Company_Name">Dashboard!$D$6</definedName>
    <definedName name="Currency">Dashboard!$D$9</definedName>
    <definedName name="Last_Financial_Period">Dashboard!$D$8</definedName>
    <definedName name="LIBOR">Dashboard!$D$13</definedName>
    <definedName name="Ticker">Dashboard!$D$7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  <c r="H55" i="2"/>
  <c r="H22" i="2"/>
  <c r="I47" i="2"/>
  <c r="I60" i="2"/>
  <c r="H35" i="2" l="1"/>
  <c r="J60" i="2"/>
  <c r="K60" i="2" s="1"/>
  <c r="D41" i="12"/>
  <c r="E41" i="12"/>
  <c r="F41" i="12"/>
  <c r="G41" i="12"/>
  <c r="H41" i="12"/>
  <c r="I57" i="2"/>
  <c r="I48" i="2"/>
  <c r="I17" i="7"/>
  <c r="J17" i="7" s="1"/>
  <c r="K17" i="7" s="1"/>
  <c r="E45" i="7"/>
  <c r="E44" i="7"/>
  <c r="D13" i="12"/>
  <c r="E13" i="12"/>
  <c r="F13" i="12"/>
  <c r="G13" i="12"/>
  <c r="H13" i="12"/>
  <c r="F45" i="7"/>
  <c r="F44" i="7"/>
  <c r="I13" i="12" l="1"/>
  <c r="J13" i="12" s="1"/>
  <c r="I41" i="12"/>
  <c r="J41" i="12" s="1"/>
  <c r="K41" i="12" s="1"/>
  <c r="J47" i="2"/>
  <c r="J57" i="2"/>
  <c r="K57" i="2" s="1"/>
  <c r="H65" i="2"/>
  <c r="H33" i="2"/>
  <c r="K13" i="12" l="1"/>
  <c r="K47" i="2"/>
  <c r="I19" i="2"/>
  <c r="I27" i="7"/>
  <c r="K48" i="20"/>
  <c r="K34" i="7" l="1"/>
  <c r="I28" i="7"/>
  <c r="J28" i="7"/>
  <c r="K28" i="7" s="1"/>
  <c r="J27" i="7"/>
  <c r="K27" i="7" s="1"/>
  <c r="G37" i="7"/>
  <c r="I48" i="7"/>
  <c r="I34" i="7" s="1"/>
  <c r="J48" i="7"/>
  <c r="J34" i="7" s="1"/>
  <c r="K48" i="7"/>
  <c r="J47" i="7"/>
  <c r="J33" i="7" s="1"/>
  <c r="K47" i="7"/>
  <c r="K33" i="7" s="1"/>
  <c r="I45" i="7"/>
  <c r="J45" i="7"/>
  <c r="K45" i="7"/>
  <c r="J44" i="7"/>
  <c r="K44" i="7"/>
  <c r="I47" i="7"/>
  <c r="I33" i="7" s="1"/>
  <c r="I44" i="7"/>
  <c r="G48" i="7"/>
  <c r="G40" i="7" s="1"/>
  <c r="H48" i="7"/>
  <c r="H47" i="7"/>
  <c r="G47" i="7"/>
  <c r="G39" i="7" s="1"/>
  <c r="G45" i="7"/>
  <c r="H45" i="7"/>
  <c r="H40" i="7" s="1"/>
  <c r="H44" i="7"/>
  <c r="G44" i="7"/>
  <c r="H37" i="7" l="1"/>
  <c r="G36" i="7"/>
  <c r="H36" i="7"/>
  <c r="H39" i="7"/>
  <c r="I28" i="2" l="1"/>
  <c r="J28" i="2" s="1"/>
  <c r="K28" i="2" s="1"/>
  <c r="D31" i="12"/>
  <c r="E31" i="12"/>
  <c r="F31" i="12"/>
  <c r="G31" i="12"/>
  <c r="H31" i="12"/>
  <c r="I18" i="7" l="1"/>
  <c r="J18" i="7" s="1"/>
  <c r="K18" i="7" s="1"/>
  <c r="D164" i="15" l="1"/>
  <c r="D160" i="15"/>
  <c r="D163" i="15" s="1"/>
  <c r="G159" i="15"/>
  <c r="F159" i="15"/>
  <c r="F160" i="15" s="1"/>
  <c r="F163" i="15" s="1"/>
  <c r="E159" i="15"/>
  <c r="E160" i="15" s="1"/>
  <c r="E163" i="15" s="1"/>
  <c r="D154" i="15"/>
  <c r="D162" i="15" s="1"/>
  <c r="E154" i="15"/>
  <c r="E204" i="15" s="1"/>
  <c r="F154" i="15"/>
  <c r="F204" i="15" s="1"/>
  <c r="D202" i="15"/>
  <c r="D200" i="15"/>
  <c r="D203" i="15" s="1"/>
  <c r="F200" i="15"/>
  <c r="F203" i="15" s="1"/>
  <c r="E200" i="15"/>
  <c r="E203" i="15" s="1"/>
  <c r="G149" i="15"/>
  <c r="F149" i="15"/>
  <c r="F150" i="15" s="1"/>
  <c r="F152" i="15" s="1"/>
  <c r="E149" i="15"/>
  <c r="E150" i="15" s="1"/>
  <c r="F202" i="15" l="1"/>
  <c r="D204" i="15"/>
  <c r="G163" i="15"/>
  <c r="E152" i="15"/>
  <c r="G152" i="15" s="1"/>
  <c r="H152" i="15" s="1"/>
  <c r="E156" i="15"/>
  <c r="E162" i="15"/>
  <c r="E164" i="15"/>
  <c r="E202" i="15"/>
  <c r="G202" i="15" s="1"/>
  <c r="H202" i="15" s="1"/>
  <c r="I202" i="15" s="1"/>
  <c r="F156" i="15"/>
  <c r="F162" i="15"/>
  <c r="F164" i="15"/>
  <c r="H163" i="15"/>
  <c r="I163" i="15" s="1"/>
  <c r="G203" i="15"/>
  <c r="H203" i="15"/>
  <c r="I203" i="15" s="1"/>
  <c r="D142" i="15"/>
  <c r="E142" i="15"/>
  <c r="G142" i="15" s="1"/>
  <c r="F142" i="15"/>
  <c r="D144" i="15"/>
  <c r="E144" i="15"/>
  <c r="F144" i="15"/>
  <c r="D140" i="15"/>
  <c r="D143" i="15" s="1"/>
  <c r="G139" i="15"/>
  <c r="F139" i="15"/>
  <c r="F140" i="15" s="1"/>
  <c r="F143" i="15" s="1"/>
  <c r="G143" i="15" s="1"/>
  <c r="H143" i="15" s="1"/>
  <c r="E139" i="15"/>
  <c r="E140" i="15" s="1"/>
  <c r="E143" i="15" s="1"/>
  <c r="G129" i="15"/>
  <c r="F129" i="15"/>
  <c r="F130" i="15" s="1"/>
  <c r="F132" i="15" s="1"/>
  <c r="E129" i="15"/>
  <c r="E130" i="15" s="1"/>
  <c r="E132" i="15" s="1"/>
  <c r="D124" i="15"/>
  <c r="D120" i="15"/>
  <c r="G119" i="15"/>
  <c r="F119" i="15"/>
  <c r="F120" i="15" s="1"/>
  <c r="E119" i="15"/>
  <c r="E120" i="15" s="1"/>
  <c r="D113" i="15"/>
  <c r="D122" i="15" s="1"/>
  <c r="E113" i="15"/>
  <c r="E122" i="15" s="1"/>
  <c r="F113" i="15"/>
  <c r="F124" i="15" s="1"/>
  <c r="G107" i="15"/>
  <c r="F107" i="15"/>
  <c r="F108" i="15" s="1"/>
  <c r="F110" i="15" s="1"/>
  <c r="E107" i="15"/>
  <c r="E108" i="15" s="1"/>
  <c r="E110" i="15" s="1"/>
  <c r="G101" i="15"/>
  <c r="F101" i="15"/>
  <c r="F102" i="15" s="1"/>
  <c r="F104" i="15" s="1"/>
  <c r="E101" i="15"/>
  <c r="E102" i="15" s="1"/>
  <c r="E104" i="15" s="1"/>
  <c r="G95" i="15"/>
  <c r="F95" i="15"/>
  <c r="F96" i="15" s="1"/>
  <c r="F98" i="15" s="1"/>
  <c r="E95" i="15"/>
  <c r="E96" i="15" s="1"/>
  <c r="E98" i="15" s="1"/>
  <c r="G89" i="15"/>
  <c r="F89" i="15"/>
  <c r="F90" i="15" s="1"/>
  <c r="F92" i="15" s="1"/>
  <c r="E89" i="15"/>
  <c r="E90" i="15" s="1"/>
  <c r="E92" i="15" s="1"/>
  <c r="G83" i="15"/>
  <c r="F83" i="15"/>
  <c r="F84" i="15" s="1"/>
  <c r="F86" i="15" s="1"/>
  <c r="E83" i="15"/>
  <c r="E84" i="15" s="1"/>
  <c r="E86" i="15" s="1"/>
  <c r="D47" i="15"/>
  <c r="D171" i="15" s="1"/>
  <c r="D41" i="15"/>
  <c r="D51" i="15" s="1"/>
  <c r="E41" i="15"/>
  <c r="E51" i="15" s="1"/>
  <c r="F41" i="15"/>
  <c r="F51" i="15" s="1"/>
  <c r="G104" i="15" l="1"/>
  <c r="H104" i="15" s="1"/>
  <c r="I104" i="15" s="1"/>
  <c r="D123" i="15"/>
  <c r="H132" i="15"/>
  <c r="I132" i="15" s="1"/>
  <c r="G132" i="15"/>
  <c r="E124" i="15"/>
  <c r="H142" i="15"/>
  <c r="G162" i="15"/>
  <c r="H162" i="15" s="1"/>
  <c r="I162" i="15" s="1"/>
  <c r="G110" i="15"/>
  <c r="I152" i="15"/>
  <c r="F122" i="15"/>
  <c r="E115" i="15"/>
  <c r="E116" i="15" s="1"/>
  <c r="F123" i="15"/>
  <c r="E123" i="15"/>
  <c r="F115" i="15"/>
  <c r="F116" i="15" s="1"/>
  <c r="G86" i="15"/>
  <c r="H86" i="15" s="1"/>
  <c r="I86" i="15" s="1"/>
  <c r="G98" i="15"/>
  <c r="I143" i="15"/>
  <c r="G92" i="15"/>
  <c r="D50" i="15"/>
  <c r="G123" i="15" l="1"/>
  <c r="H123" i="15" s="1"/>
  <c r="I123" i="15" s="1"/>
  <c r="G122" i="15"/>
  <c r="H122" i="15" s="1"/>
  <c r="I122" i="15" s="1"/>
  <c r="H110" i="15"/>
  <c r="I110" i="15" s="1"/>
  <c r="H98" i="15"/>
  <c r="I98" i="15" s="1"/>
  <c r="I142" i="15"/>
  <c r="H92" i="15"/>
  <c r="I92" i="15" l="1"/>
  <c r="E17" i="15" l="1"/>
  <c r="F17" i="15"/>
  <c r="G17" i="15"/>
  <c r="E13" i="15"/>
  <c r="E12" i="15"/>
  <c r="E11" i="15"/>
  <c r="E10" i="15"/>
  <c r="I8" i="1" l="1"/>
  <c r="I35" i="1"/>
  <c r="I31" i="1"/>
  <c r="J31" i="1"/>
  <c r="K31" i="1"/>
  <c r="D69" i="2"/>
  <c r="E69" i="2"/>
  <c r="F69" i="2"/>
  <c r="G69" i="2"/>
  <c r="H69" i="2"/>
  <c r="I62" i="2" l="1"/>
  <c r="J62" i="2"/>
  <c r="K62" i="2" s="1"/>
  <c r="I63" i="2"/>
  <c r="J63" i="2" s="1"/>
  <c r="K63" i="2" s="1"/>
  <c r="I59" i="2"/>
  <c r="D40" i="12"/>
  <c r="E40" i="12"/>
  <c r="F40" i="12"/>
  <c r="G40" i="12"/>
  <c r="I40" i="12" s="1"/>
  <c r="H40" i="12"/>
  <c r="I56" i="2"/>
  <c r="I37" i="1" s="1"/>
  <c r="J56" i="2"/>
  <c r="J37" i="1" s="1"/>
  <c r="K56" i="2"/>
  <c r="K37" i="1" s="1"/>
  <c r="I50" i="2"/>
  <c r="J50" i="2"/>
  <c r="K50" i="2"/>
  <c r="D37" i="12"/>
  <c r="E37" i="12"/>
  <c r="F37" i="12"/>
  <c r="G37" i="12"/>
  <c r="H37" i="12"/>
  <c r="I53" i="2"/>
  <c r="J53" i="2"/>
  <c r="K53" i="2" s="1"/>
  <c r="I52" i="2"/>
  <c r="I21" i="1" s="1"/>
  <c r="J48" i="2"/>
  <c r="K48" i="2" s="1"/>
  <c r="I37" i="12" l="1"/>
  <c r="J37" i="12" s="1"/>
  <c r="K37" i="12" s="1"/>
  <c r="J52" i="2"/>
  <c r="J41" i="1"/>
  <c r="I39" i="1"/>
  <c r="K41" i="1"/>
  <c r="J59" i="2"/>
  <c r="K59" i="2" s="1"/>
  <c r="I41" i="1"/>
  <c r="K39" i="1" l="1"/>
  <c r="J39" i="1"/>
  <c r="I43" i="1"/>
  <c r="K52" i="2"/>
  <c r="K21" i="1" s="1"/>
  <c r="J21" i="1"/>
  <c r="J40" i="12"/>
  <c r="K40" i="12" s="1"/>
  <c r="J42" i="2"/>
  <c r="I41" i="2"/>
  <c r="J41" i="2" s="1"/>
  <c r="K41" i="2" s="1"/>
  <c r="I39" i="2"/>
  <c r="J39" i="2" s="1"/>
  <c r="K39" i="2" s="1"/>
  <c r="I38" i="2"/>
  <c r="J38" i="2" s="1"/>
  <c r="K38" i="2" s="1"/>
  <c r="I29" i="2"/>
  <c r="J29" i="2"/>
  <c r="K29" i="2"/>
  <c r="D30" i="12"/>
  <c r="E30" i="12"/>
  <c r="F30" i="12"/>
  <c r="G30" i="12"/>
  <c r="H30" i="12"/>
  <c r="D29" i="12"/>
  <c r="E29" i="12"/>
  <c r="F29" i="12"/>
  <c r="G29" i="12"/>
  <c r="H29" i="12"/>
  <c r="D28" i="12"/>
  <c r="E28" i="12"/>
  <c r="F28" i="12"/>
  <c r="G28" i="12"/>
  <c r="I28" i="12" s="1"/>
  <c r="H28" i="12"/>
  <c r="D27" i="12"/>
  <c r="E27" i="12"/>
  <c r="F27" i="12"/>
  <c r="G27" i="12"/>
  <c r="H27" i="12"/>
  <c r="D26" i="12"/>
  <c r="E26" i="12"/>
  <c r="F26" i="12"/>
  <c r="G26" i="12"/>
  <c r="H26" i="12"/>
  <c r="J19" i="2"/>
  <c r="K19" i="2" s="1"/>
  <c r="D22" i="12"/>
  <c r="E22" i="12"/>
  <c r="F22" i="12"/>
  <c r="G22" i="12"/>
  <c r="H22" i="12"/>
  <c r="I20" i="2"/>
  <c r="J20" i="2"/>
  <c r="K20" i="2" s="1"/>
  <c r="D23" i="12"/>
  <c r="E23" i="12"/>
  <c r="F23" i="12"/>
  <c r="G23" i="12"/>
  <c r="H23" i="12"/>
  <c r="I17" i="2"/>
  <c r="I15" i="2"/>
  <c r="J15" i="2" s="1"/>
  <c r="K15" i="2" s="1"/>
  <c r="I14" i="2"/>
  <c r="D21" i="12"/>
  <c r="E21" i="12"/>
  <c r="F21" i="12"/>
  <c r="G21" i="12"/>
  <c r="H21" i="12"/>
  <c r="I21" i="12" s="1"/>
  <c r="I32" i="1" l="1"/>
  <c r="J32" i="1"/>
  <c r="J14" i="2"/>
  <c r="J28" i="1"/>
  <c r="I28" i="1"/>
  <c r="K42" i="2"/>
  <c r="K35" i="1" s="1"/>
  <c r="J35" i="1"/>
  <c r="J43" i="1" s="1"/>
  <c r="I26" i="12"/>
  <c r="K32" i="1"/>
  <c r="K43" i="1"/>
  <c r="I22" i="12"/>
  <c r="I27" i="12"/>
  <c r="J27" i="12"/>
  <c r="K27" i="12" s="1"/>
  <c r="I30" i="12"/>
  <c r="J30" i="12" s="1"/>
  <c r="J26" i="12"/>
  <c r="K26" i="12" s="1"/>
  <c r="I29" i="12"/>
  <c r="J29" i="12" s="1"/>
  <c r="K29" i="12" s="1"/>
  <c r="J17" i="2"/>
  <c r="K17" i="2" s="1"/>
  <c r="I23" i="12"/>
  <c r="J23" i="12" s="1"/>
  <c r="J21" i="12"/>
  <c r="K21" i="12" s="1"/>
  <c r="D20" i="12"/>
  <c r="E20" i="12"/>
  <c r="F20" i="12"/>
  <c r="G20" i="12"/>
  <c r="H20" i="12"/>
  <c r="I20" i="12" s="1"/>
  <c r="K14" i="2" l="1"/>
  <c r="K28" i="1"/>
  <c r="J28" i="12"/>
  <c r="K28" i="12" s="1"/>
  <c r="K23" i="12"/>
  <c r="J20" i="12"/>
  <c r="K20" i="12" s="1"/>
  <c r="K30" i="12"/>
  <c r="J22" i="12"/>
  <c r="D15" i="12"/>
  <c r="E15" i="12"/>
  <c r="F15" i="12"/>
  <c r="G15" i="12"/>
  <c r="H15" i="12"/>
  <c r="I49" i="20"/>
  <c r="J49" i="20" s="1"/>
  <c r="I46" i="20"/>
  <c r="I31" i="20"/>
  <c r="I22" i="20"/>
  <c r="I16" i="20"/>
  <c r="J16" i="20" s="1"/>
  <c r="K16" i="20" s="1"/>
  <c r="I13" i="20"/>
  <c r="J13" i="20" s="1"/>
  <c r="K13" i="20" s="1"/>
  <c r="I52" i="20"/>
  <c r="J46" i="20" l="1"/>
  <c r="K49" i="20"/>
  <c r="I15" i="12"/>
  <c r="J15" i="12" s="1"/>
  <c r="K15" i="12" s="1"/>
  <c r="K22" i="12"/>
  <c r="K46" i="20"/>
  <c r="J24" i="20"/>
  <c r="J22" i="20" s="1"/>
  <c r="K24" i="20" l="1"/>
  <c r="K22" i="20" s="1"/>
  <c r="E43" i="20"/>
  <c r="E55" i="20" s="1"/>
  <c r="F43" i="20"/>
  <c r="F55" i="20" s="1"/>
  <c r="F56" i="20" s="1"/>
  <c r="G43" i="20"/>
  <c r="G55" i="20" s="1"/>
  <c r="H43" i="20"/>
  <c r="H54" i="20"/>
  <c r="J54" i="20" s="1"/>
  <c r="G54" i="20"/>
  <c r="F54" i="20"/>
  <c r="H53" i="20"/>
  <c r="G53" i="20"/>
  <c r="F53" i="20"/>
  <c r="E53" i="20"/>
  <c r="H51" i="20"/>
  <c r="G51" i="20"/>
  <c r="F51" i="20"/>
  <c r="H50" i="20"/>
  <c r="G50" i="20"/>
  <c r="F50" i="20"/>
  <c r="E50" i="20"/>
  <c r="H48" i="20"/>
  <c r="G48" i="20"/>
  <c r="F48" i="20"/>
  <c r="H47" i="20"/>
  <c r="G47" i="20"/>
  <c r="F47" i="20"/>
  <c r="E47" i="20"/>
  <c r="F45" i="20"/>
  <c r="G45" i="20"/>
  <c r="H45" i="20"/>
  <c r="J45" i="20" s="1"/>
  <c r="K45" i="20" s="1"/>
  <c r="G56" i="20" l="1"/>
  <c r="E44" i="20"/>
  <c r="K54" i="20"/>
  <c r="J52" i="20"/>
  <c r="K52" i="20" s="1"/>
  <c r="I43" i="20"/>
  <c r="H55" i="20"/>
  <c r="H56" i="20" s="1"/>
  <c r="H44" i="20"/>
  <c r="F44" i="20"/>
  <c r="G44" i="20"/>
  <c r="E38" i="20"/>
  <c r="F38" i="20"/>
  <c r="G38" i="20"/>
  <c r="H38" i="20"/>
  <c r="I16" i="7"/>
  <c r="I20" i="7" s="1"/>
  <c r="D14" i="12"/>
  <c r="E14" i="12"/>
  <c r="F14" i="12"/>
  <c r="G14" i="12"/>
  <c r="H14" i="12"/>
  <c r="D12" i="12"/>
  <c r="E12" i="12"/>
  <c r="F12" i="12"/>
  <c r="G12" i="12"/>
  <c r="H12" i="12"/>
  <c r="D11" i="12"/>
  <c r="E11" i="12"/>
  <c r="F11" i="12"/>
  <c r="G11" i="12"/>
  <c r="H11" i="12"/>
  <c r="I11" i="12" s="1"/>
  <c r="D10" i="12"/>
  <c r="E10" i="12"/>
  <c r="F10" i="12"/>
  <c r="G10" i="12"/>
  <c r="H10" i="12"/>
  <c r="H6" i="12"/>
  <c r="I6" i="12" s="1"/>
  <c r="J6" i="12" s="1"/>
  <c r="K6" i="12" s="1"/>
  <c r="B6" i="12"/>
  <c r="B2" i="12"/>
  <c r="I10" i="12" l="1"/>
  <c r="J43" i="20"/>
  <c r="I55" i="20"/>
  <c r="I58" i="20"/>
  <c r="J10" i="12"/>
  <c r="K10" i="12" s="1"/>
  <c r="I12" i="12"/>
  <c r="J16" i="7"/>
  <c r="J12" i="12"/>
  <c r="J11" i="12"/>
  <c r="I14" i="12"/>
  <c r="G6" i="12"/>
  <c r="F6" i="12" s="1"/>
  <c r="E6" i="12" s="1"/>
  <c r="D6" i="12" s="1"/>
  <c r="H36" i="20"/>
  <c r="G36" i="20"/>
  <c r="F36" i="20"/>
  <c r="E36" i="20"/>
  <c r="H35" i="20"/>
  <c r="G35" i="20"/>
  <c r="F35" i="20"/>
  <c r="E35" i="20"/>
  <c r="D35" i="20"/>
  <c r="H33" i="20"/>
  <c r="J33" i="20" s="1"/>
  <c r="G33" i="20"/>
  <c r="F33" i="20"/>
  <c r="E33" i="20"/>
  <c r="H32" i="20"/>
  <c r="G32" i="20"/>
  <c r="F32" i="20"/>
  <c r="E32" i="20"/>
  <c r="D32" i="20"/>
  <c r="H30" i="20"/>
  <c r="G30" i="20"/>
  <c r="I30" i="20" s="1"/>
  <c r="F30" i="20"/>
  <c r="E30" i="20"/>
  <c r="H29" i="20"/>
  <c r="G29" i="20"/>
  <c r="F29" i="20"/>
  <c r="E29" i="20"/>
  <c r="D29" i="20"/>
  <c r="H27" i="20"/>
  <c r="G27" i="20"/>
  <c r="F27" i="20"/>
  <c r="E27" i="20"/>
  <c r="H26" i="20"/>
  <c r="G26" i="20"/>
  <c r="F26" i="20"/>
  <c r="E26" i="20"/>
  <c r="D26" i="20"/>
  <c r="H24" i="20"/>
  <c r="G24" i="20"/>
  <c r="F24" i="20"/>
  <c r="E24" i="20"/>
  <c r="H23" i="20"/>
  <c r="G23" i="20"/>
  <c r="F23" i="20"/>
  <c r="E23" i="20"/>
  <c r="D23" i="20"/>
  <c r="H21" i="20"/>
  <c r="G21" i="20"/>
  <c r="F21" i="20"/>
  <c r="E21" i="20"/>
  <c r="H20" i="20"/>
  <c r="G20" i="20"/>
  <c r="F20" i="20"/>
  <c r="E20" i="20"/>
  <c r="D20" i="20"/>
  <c r="H18" i="20"/>
  <c r="G18" i="20"/>
  <c r="F18" i="20"/>
  <c r="E18" i="20"/>
  <c r="H17" i="20"/>
  <c r="G17" i="20"/>
  <c r="F17" i="20"/>
  <c r="E17" i="20"/>
  <c r="D17" i="20"/>
  <c r="H15" i="20"/>
  <c r="G15" i="20"/>
  <c r="F15" i="20"/>
  <c r="E15" i="20"/>
  <c r="H14" i="20"/>
  <c r="G14" i="20"/>
  <c r="F14" i="20"/>
  <c r="E14" i="20"/>
  <c r="D14" i="20"/>
  <c r="D11" i="20"/>
  <c r="E11" i="20"/>
  <c r="F11" i="20"/>
  <c r="G11" i="20"/>
  <c r="H11" i="20"/>
  <c r="E12" i="20"/>
  <c r="F12" i="20"/>
  <c r="G12" i="20"/>
  <c r="H12" i="20"/>
  <c r="H6" i="20"/>
  <c r="I6" i="20" s="1"/>
  <c r="J6" i="20" s="1"/>
  <c r="K6" i="20" s="1"/>
  <c r="B6" i="20"/>
  <c r="B2" i="20"/>
  <c r="H6" i="1"/>
  <c r="G6" i="1" s="1"/>
  <c r="F6" i="1" s="1"/>
  <c r="E6" i="1" s="1"/>
  <c r="D6" i="1" s="1"/>
  <c r="B6" i="1"/>
  <c r="B2" i="1"/>
  <c r="H6" i="2"/>
  <c r="I6" i="2" s="1"/>
  <c r="J6" i="2" s="1"/>
  <c r="K6" i="2" s="1"/>
  <c r="B6" i="2"/>
  <c r="B2" i="2"/>
  <c r="I12" i="20" l="1"/>
  <c r="I36" i="20"/>
  <c r="I6" i="1"/>
  <c r="J6" i="1" s="1"/>
  <c r="K6" i="1" s="1"/>
  <c r="J31" i="20"/>
  <c r="K33" i="20"/>
  <c r="I34" i="20"/>
  <c r="I27" i="20"/>
  <c r="I25" i="20" s="1"/>
  <c r="J36" i="20"/>
  <c r="K36" i="20" s="1"/>
  <c r="I8" i="7"/>
  <c r="I53" i="20"/>
  <c r="I56" i="20"/>
  <c r="I50" i="20"/>
  <c r="I47" i="20"/>
  <c r="J12" i="20"/>
  <c r="K12" i="20" s="1"/>
  <c r="I10" i="20"/>
  <c r="I28" i="20"/>
  <c r="K43" i="20"/>
  <c r="J58" i="20"/>
  <c r="J55" i="20"/>
  <c r="J44" i="20"/>
  <c r="I21" i="20"/>
  <c r="J30" i="20"/>
  <c r="K30" i="20" s="1"/>
  <c r="I44" i="20"/>
  <c r="G6" i="2"/>
  <c r="F6" i="2" s="1"/>
  <c r="E6" i="2" s="1"/>
  <c r="D6" i="2" s="1"/>
  <c r="K16" i="7"/>
  <c r="K20" i="7" s="1"/>
  <c r="J20" i="7"/>
  <c r="J14" i="12"/>
  <c r="I14" i="7"/>
  <c r="K11" i="12"/>
  <c r="K12" i="12"/>
  <c r="G6" i="20"/>
  <c r="F6" i="20" s="1"/>
  <c r="E6" i="20" s="1"/>
  <c r="D6" i="20" s="1"/>
  <c r="J27" i="20" l="1"/>
  <c r="K27" i="20" s="1"/>
  <c r="I13" i="7"/>
  <c r="G150" i="15"/>
  <c r="G96" i="15"/>
  <c r="G97" i="15" s="1"/>
  <c r="H95" i="15" s="1"/>
  <c r="I24" i="2"/>
  <c r="I18" i="2"/>
  <c r="G108" i="15"/>
  <c r="G109" i="15" s="1"/>
  <c r="H107" i="15" s="1"/>
  <c r="G130" i="15"/>
  <c r="I27" i="2"/>
  <c r="G102" i="15"/>
  <c r="G103" i="15" s="1"/>
  <c r="H101" i="15" s="1"/>
  <c r="G84" i="15"/>
  <c r="I26" i="2"/>
  <c r="I33" i="1" s="1"/>
  <c r="G90" i="15"/>
  <c r="G91" i="15" s="1"/>
  <c r="H89" i="15" s="1"/>
  <c r="I25" i="2"/>
  <c r="I16" i="2"/>
  <c r="I11" i="7"/>
  <c r="I9" i="7"/>
  <c r="J53" i="20"/>
  <c r="J8" i="7"/>
  <c r="J14" i="7" s="1"/>
  <c r="J50" i="20"/>
  <c r="J47" i="20"/>
  <c r="J56" i="20"/>
  <c r="I12" i="7"/>
  <c r="J10" i="20"/>
  <c r="J25" i="20"/>
  <c r="K31" i="20"/>
  <c r="I10" i="7"/>
  <c r="I19" i="20"/>
  <c r="I37" i="20" s="1"/>
  <c r="K55" i="20"/>
  <c r="K44" i="20" s="1"/>
  <c r="K58" i="20"/>
  <c r="J28" i="20"/>
  <c r="J34" i="20"/>
  <c r="J21" i="20"/>
  <c r="K21" i="20" s="1"/>
  <c r="K14" i="12"/>
  <c r="H6" i="7"/>
  <c r="G6" i="7" s="1"/>
  <c r="F6" i="7" s="1"/>
  <c r="E6" i="7" s="1"/>
  <c r="D6" i="7" s="1"/>
  <c r="B6" i="7"/>
  <c r="B2" i="7"/>
  <c r="I14" i="20" l="1"/>
  <c r="I17" i="20"/>
  <c r="I23" i="20"/>
  <c r="I32" i="20"/>
  <c r="I38" i="20"/>
  <c r="I11" i="20"/>
  <c r="I29" i="20"/>
  <c r="I26" i="20"/>
  <c r="I35" i="20"/>
  <c r="K10" i="20"/>
  <c r="K34" i="20"/>
  <c r="I23" i="1"/>
  <c r="G85" i="15"/>
  <c r="G115" i="15"/>
  <c r="G116" i="15" s="1"/>
  <c r="G156" i="15"/>
  <c r="G151" i="15"/>
  <c r="G131" i="15"/>
  <c r="G136" i="15"/>
  <c r="K8" i="7"/>
  <c r="K56" i="20"/>
  <c r="K47" i="20"/>
  <c r="K50" i="20"/>
  <c r="K53" i="20"/>
  <c r="K25" i="20"/>
  <c r="H130" i="15"/>
  <c r="H136" i="15" s="1"/>
  <c r="J16" i="2"/>
  <c r="H102" i="15"/>
  <c r="H103" i="15" s="1"/>
  <c r="I101" i="15" s="1"/>
  <c r="J26" i="2"/>
  <c r="J24" i="2"/>
  <c r="J27" i="2"/>
  <c r="H90" i="15"/>
  <c r="H91" i="15" s="1"/>
  <c r="I89" i="15" s="1"/>
  <c r="J18" i="2"/>
  <c r="H84" i="15"/>
  <c r="J25" i="2"/>
  <c r="H108" i="15"/>
  <c r="H109" i="15" s="1"/>
  <c r="I107" i="15" s="1"/>
  <c r="H96" i="15"/>
  <c r="H97" i="15" s="1"/>
  <c r="I95" i="15" s="1"/>
  <c r="H150" i="15"/>
  <c r="H156" i="15" s="1"/>
  <c r="J13" i="7"/>
  <c r="J9" i="7"/>
  <c r="J12" i="7"/>
  <c r="J11" i="7"/>
  <c r="I23" i="2"/>
  <c r="I49" i="2"/>
  <c r="I54" i="2" s="1"/>
  <c r="I55" i="2" s="1"/>
  <c r="I61" i="2"/>
  <c r="I58" i="2"/>
  <c r="I19" i="1"/>
  <c r="K28" i="20"/>
  <c r="J19" i="20"/>
  <c r="J37" i="20" s="1"/>
  <c r="I20" i="20"/>
  <c r="I15" i="7"/>
  <c r="I6" i="7"/>
  <c r="J6" i="7" s="1"/>
  <c r="K6" i="7" s="1"/>
  <c r="J14" i="20" l="1"/>
  <c r="J17" i="20"/>
  <c r="J23" i="20"/>
  <c r="J38" i="20"/>
  <c r="J32" i="20"/>
  <c r="J26" i="20"/>
  <c r="J29" i="20"/>
  <c r="J35" i="20"/>
  <c r="J11" i="20"/>
  <c r="I21" i="7"/>
  <c r="I64" i="2"/>
  <c r="I65" i="2" s="1"/>
  <c r="J61" i="2"/>
  <c r="J10" i="7"/>
  <c r="J49" i="2"/>
  <c r="J58" i="2"/>
  <c r="J23" i="2"/>
  <c r="G154" i="15"/>
  <c r="H149" i="15"/>
  <c r="H151" i="15" s="1"/>
  <c r="I18" i="1"/>
  <c r="J33" i="1"/>
  <c r="G113" i="15"/>
  <c r="H83" i="15"/>
  <c r="H85" i="15" s="1"/>
  <c r="I20" i="1"/>
  <c r="K13" i="7"/>
  <c r="I102" i="15"/>
  <c r="I103" i="15" s="1"/>
  <c r="I84" i="15"/>
  <c r="K26" i="2"/>
  <c r="K33" i="1" s="1"/>
  <c r="I150" i="15"/>
  <c r="I156" i="15" s="1"/>
  <c r="I130" i="15"/>
  <c r="I136" i="15" s="1"/>
  <c r="K16" i="2"/>
  <c r="K23" i="1" s="1"/>
  <c r="I108" i="15"/>
  <c r="I109" i="15" s="1"/>
  <c r="I90" i="15"/>
  <c r="I91" i="15" s="1"/>
  <c r="K18" i="2"/>
  <c r="I96" i="15"/>
  <c r="K24" i="2"/>
  <c r="K27" i="2"/>
  <c r="K25" i="2"/>
  <c r="K9" i="7"/>
  <c r="K10" i="7" s="1"/>
  <c r="K11" i="7"/>
  <c r="K12" i="7"/>
  <c r="J23" i="1"/>
  <c r="I97" i="15"/>
  <c r="G134" i="15"/>
  <c r="G141" i="15" s="1"/>
  <c r="H129" i="15"/>
  <c r="H131" i="15" s="1"/>
  <c r="J18" i="1"/>
  <c r="K19" i="20"/>
  <c r="J20" i="20"/>
  <c r="J19" i="1"/>
  <c r="H115" i="15"/>
  <c r="H116" i="15" s="1"/>
  <c r="K14" i="7"/>
  <c r="K19" i="1" l="1"/>
  <c r="K15" i="7"/>
  <c r="G144" i="15"/>
  <c r="I12" i="2" s="1"/>
  <c r="G140" i="15"/>
  <c r="H139" i="15"/>
  <c r="I115" i="15"/>
  <c r="I116" i="15" s="1"/>
  <c r="G121" i="15"/>
  <c r="G201" i="15"/>
  <c r="G200" i="15" s="1"/>
  <c r="G161" i="15"/>
  <c r="G164" i="15"/>
  <c r="I13" i="2" s="1"/>
  <c r="J15" i="7"/>
  <c r="H134" i="15"/>
  <c r="H141" i="15" s="1"/>
  <c r="I129" i="15"/>
  <c r="I131" i="15" s="1"/>
  <c r="I134" i="15" s="1"/>
  <c r="I141" i="15" s="1"/>
  <c r="I144" i="15" s="1"/>
  <c r="K12" i="2" s="1"/>
  <c r="I83" i="15"/>
  <c r="I85" i="15" s="1"/>
  <c r="I113" i="15" s="1"/>
  <c r="H113" i="15"/>
  <c r="H121" i="15" s="1"/>
  <c r="H154" i="15"/>
  <c r="I149" i="15"/>
  <c r="I151" i="15" s="1"/>
  <c r="I154" i="15" s="1"/>
  <c r="J20" i="1"/>
  <c r="J54" i="2"/>
  <c r="J55" i="2" s="1"/>
  <c r="K61" i="2"/>
  <c r="K58" i="2"/>
  <c r="K64" i="2" s="1"/>
  <c r="K49" i="2"/>
  <c r="K23" i="2"/>
  <c r="K37" i="20"/>
  <c r="J64" i="2"/>
  <c r="J65" i="2" s="1"/>
  <c r="I9" i="1"/>
  <c r="I22" i="7"/>
  <c r="K21" i="7" l="1"/>
  <c r="K65" i="2"/>
  <c r="K23" i="20"/>
  <c r="K38" i="20"/>
  <c r="K14" i="20"/>
  <c r="K17" i="20"/>
  <c r="K32" i="20"/>
  <c r="K35" i="20"/>
  <c r="K29" i="20"/>
  <c r="K26" i="20"/>
  <c r="K11" i="20"/>
  <c r="I161" i="15"/>
  <c r="I201" i="15"/>
  <c r="I200" i="15" s="1"/>
  <c r="I164" i="15"/>
  <c r="K13" i="2" s="1"/>
  <c r="K20" i="20"/>
  <c r="H144" i="15"/>
  <c r="J12" i="2" s="1"/>
  <c r="H140" i="15"/>
  <c r="I139" i="15"/>
  <c r="I140" i="15" s="1"/>
  <c r="G120" i="15"/>
  <c r="H119" i="15"/>
  <c r="H120" i="15" s="1"/>
  <c r="H161" i="15"/>
  <c r="H164" i="15" s="1"/>
  <c r="J13" i="2" s="1"/>
  <c r="H201" i="15"/>
  <c r="H200" i="15" s="1"/>
  <c r="H124" i="15"/>
  <c r="J10" i="2" s="1"/>
  <c r="I119" i="15"/>
  <c r="J21" i="7"/>
  <c r="G160" i="15"/>
  <c r="H159" i="15"/>
  <c r="K9" i="1"/>
  <c r="K22" i="7"/>
  <c r="I25" i="7"/>
  <c r="I10" i="1"/>
  <c r="K18" i="1"/>
  <c r="I121" i="15"/>
  <c r="I124" i="15" s="1"/>
  <c r="K10" i="2" s="1"/>
  <c r="K54" i="2"/>
  <c r="K55" i="2" s="1"/>
  <c r="K20" i="1"/>
  <c r="G204" i="15"/>
  <c r="G124" i="15"/>
  <c r="I10" i="2" s="1"/>
  <c r="I40" i="2" l="1"/>
  <c r="I43" i="2" s="1"/>
  <c r="I29" i="7"/>
  <c r="H204" i="15"/>
  <c r="K25" i="7"/>
  <c r="K10" i="1"/>
  <c r="I120" i="15"/>
  <c r="J9" i="1"/>
  <c r="J22" i="7"/>
  <c r="I159" i="15"/>
  <c r="I160" i="15" s="1"/>
  <c r="H160" i="15"/>
  <c r="I204" i="15"/>
  <c r="I39" i="7" l="1"/>
  <c r="I36" i="7"/>
  <c r="I31" i="7" s="1"/>
  <c r="I37" i="7"/>
  <c r="I32" i="7" s="1"/>
  <c r="I40" i="7"/>
  <c r="J25" i="7"/>
  <c r="J10" i="1"/>
  <c r="K29" i="7"/>
  <c r="I45" i="2"/>
  <c r="K36" i="7" l="1"/>
  <c r="K31" i="7" s="1"/>
  <c r="K39" i="7"/>
  <c r="K40" i="7"/>
  <c r="K37" i="7"/>
  <c r="K32" i="7" s="1"/>
  <c r="I46" i="2"/>
  <c r="I66" i="2"/>
  <c r="J40" i="2"/>
  <c r="J29" i="7"/>
  <c r="J43" i="2" l="1"/>
  <c r="K40" i="2"/>
  <c r="K43" i="2" s="1"/>
  <c r="J37" i="7"/>
  <c r="J32" i="7" s="1"/>
  <c r="J40" i="7"/>
  <c r="J39" i="7"/>
  <c r="J36" i="7"/>
  <c r="J31" i="7" s="1"/>
  <c r="K45" i="2" l="1"/>
  <c r="J45" i="2"/>
  <c r="K46" i="2" l="1"/>
  <c r="K66" i="2"/>
  <c r="J46" i="2"/>
  <c r="J66" i="2"/>
  <c r="F49" i="15"/>
  <c r="E49" i="15"/>
  <c r="G49" i="15" s="1"/>
  <c r="D49" i="15"/>
  <c r="F47" i="15"/>
  <c r="F171" i="15" s="1"/>
  <c r="G46" i="15"/>
  <c r="F46" i="15"/>
  <c r="E46" i="15"/>
  <c r="E47" i="15" s="1"/>
  <c r="E171" i="15" s="1"/>
  <c r="G35" i="15"/>
  <c r="F35" i="15"/>
  <c r="F36" i="15" s="1"/>
  <c r="F38" i="15" s="1"/>
  <c r="E35" i="15"/>
  <c r="E36" i="15" s="1"/>
  <c r="E38" i="15" s="1"/>
  <c r="G38" i="15" s="1"/>
  <c r="G36" i="15" s="1"/>
  <c r="G29" i="15"/>
  <c r="F29" i="15"/>
  <c r="F30" i="15" s="1"/>
  <c r="F32" i="15" s="1"/>
  <c r="E29" i="15"/>
  <c r="E30" i="15" s="1"/>
  <c r="E32" i="15" s="1"/>
  <c r="G23" i="15"/>
  <c r="F23" i="15"/>
  <c r="F24" i="15" s="1"/>
  <c r="F26" i="15" s="1"/>
  <c r="E23" i="15"/>
  <c r="E24" i="15" s="1"/>
  <c r="E26" i="15" s="1"/>
  <c r="G26" i="15" s="1"/>
  <c r="F18" i="15"/>
  <c r="E18" i="15"/>
  <c r="F6" i="15"/>
  <c r="E6" i="15" s="1"/>
  <c r="D6" i="15" s="1"/>
  <c r="B6" i="15"/>
  <c r="B2" i="15"/>
  <c r="G32" i="15" l="1"/>
  <c r="H49" i="15"/>
  <c r="I49" i="15" s="1"/>
  <c r="H26" i="15"/>
  <c r="I26" i="15" s="1"/>
  <c r="H32" i="15"/>
  <c r="I32" i="15" s="1"/>
  <c r="E50" i="15"/>
  <c r="E43" i="15"/>
  <c r="E168" i="15" s="1"/>
  <c r="F50" i="15"/>
  <c r="F20" i="15"/>
  <c r="F43" i="15"/>
  <c r="F168" i="15" s="1"/>
  <c r="E20" i="15"/>
  <c r="H38" i="15"/>
  <c r="G6" i="15"/>
  <c r="H6" i="15" s="1"/>
  <c r="I6" i="15" s="1"/>
  <c r="G20" i="15" l="1"/>
  <c r="H20" i="15"/>
  <c r="G50" i="15"/>
  <c r="H30" i="15"/>
  <c r="G30" i="15"/>
  <c r="G31" i="15" s="1"/>
  <c r="H29" i="15" s="1"/>
  <c r="H24" i="15"/>
  <c r="G24" i="15"/>
  <c r="G25" i="15" s="1"/>
  <c r="H23" i="15" s="1"/>
  <c r="I38" i="15"/>
  <c r="I36" i="15" s="1"/>
  <c r="H36" i="15"/>
  <c r="G37" i="15"/>
  <c r="H35" i="15" s="1"/>
  <c r="I20" i="15" l="1"/>
  <c r="I18" i="15" s="1"/>
  <c r="H18" i="15"/>
  <c r="H43" i="15" s="1"/>
  <c r="H168" i="15" s="1"/>
  <c r="G18" i="15"/>
  <c r="G43" i="15" s="1"/>
  <c r="G168" i="15" s="1"/>
  <c r="I24" i="15"/>
  <c r="H25" i="15"/>
  <c r="I23" i="15" s="1"/>
  <c r="H31" i="15"/>
  <c r="I29" i="15" s="1"/>
  <c r="H50" i="15"/>
  <c r="I50" i="15"/>
  <c r="I30" i="15"/>
  <c r="H37" i="15"/>
  <c r="I35" i="15" s="1"/>
  <c r="I25" i="1" l="1"/>
  <c r="J25" i="1"/>
  <c r="I43" i="15"/>
  <c r="I168" i="15" s="1"/>
  <c r="I25" i="15"/>
  <c r="I31" i="15"/>
  <c r="I37" i="15"/>
  <c r="K25" i="1" l="1"/>
  <c r="B6" i="9"/>
  <c r="H6" i="9" l="1"/>
  <c r="G6" i="9" s="1"/>
  <c r="F6" i="9" s="1"/>
  <c r="E6" i="9" s="1"/>
  <c r="D6" i="9" s="1"/>
  <c r="B2" i="9"/>
  <c r="I6" i="9" l="1"/>
  <c r="J6" i="9" s="1"/>
  <c r="K6" i="9" s="1"/>
  <c r="G19" i="15" l="1"/>
  <c r="H17" i="15" l="1"/>
  <c r="H19" i="15" s="1"/>
  <c r="H41" i="15" s="1"/>
  <c r="G41" i="15"/>
  <c r="I17" i="15" l="1"/>
  <c r="I19" i="15" s="1"/>
  <c r="I41" i="15" s="1"/>
  <c r="I48" i="15" s="1"/>
  <c r="I51" i="15" s="1"/>
  <c r="K11" i="2" s="1"/>
  <c r="K21" i="2" s="1"/>
  <c r="G48" i="15"/>
  <c r="G51" i="15" s="1"/>
  <c r="I11" i="2" s="1"/>
  <c r="H48" i="15"/>
  <c r="H51" i="15" s="1"/>
  <c r="J11" i="2" s="1"/>
  <c r="K34" i="1" l="1"/>
  <c r="J21" i="2"/>
  <c r="J34" i="1"/>
  <c r="I34" i="1"/>
  <c r="I21" i="2"/>
  <c r="I22" i="2" s="1"/>
  <c r="I46" i="15"/>
  <c r="I47" i="15" s="1"/>
  <c r="I171" i="15" s="1"/>
  <c r="G47" i="15"/>
  <c r="G171" i="15" s="1"/>
  <c r="H46" i="15"/>
  <c r="H47" i="15" s="1"/>
  <c r="H171" i="15" s="1"/>
  <c r="J22" i="2" l="1"/>
  <c r="K22" i="2"/>
  <c r="I11" i="1"/>
  <c r="I24" i="1" s="1"/>
  <c r="I45" i="1" s="1"/>
  <c r="I46" i="1" s="1"/>
  <c r="I30" i="2" s="1"/>
  <c r="J11" i="1"/>
  <c r="J24" i="1" s="1"/>
  <c r="J45" i="1" s="1"/>
  <c r="K11" i="1"/>
  <c r="K24" i="1" s="1"/>
  <c r="K45" i="1" s="1"/>
  <c r="J8" i="1" l="1"/>
  <c r="J46" i="1" s="1"/>
  <c r="K8" i="1" s="1"/>
  <c r="K46" i="1" s="1"/>
  <c r="K30" i="2" s="1"/>
  <c r="K32" i="2" s="1"/>
  <c r="I32" i="2"/>
  <c r="I33" i="2" l="1"/>
  <c r="K34" i="2"/>
  <c r="J30" i="2"/>
  <c r="I34" i="2"/>
  <c r="I35" i="2" s="1"/>
  <c r="K69" i="2" l="1"/>
  <c r="J32" i="2"/>
  <c r="I69" i="2"/>
  <c r="J33" i="2" l="1"/>
  <c r="K33" i="2"/>
  <c r="J34" i="2"/>
  <c r="J35" i="2" l="1"/>
  <c r="K35" i="2"/>
  <c r="J69" i="2"/>
</calcChain>
</file>

<file path=xl/comments1.xml><?xml version="1.0" encoding="utf-8"?>
<comments xmlns="http://schemas.openxmlformats.org/spreadsheetml/2006/main">
  <authors>
    <author>Windows User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As per the HY2018 report, decrease in Dist Exp is attribuatble to reclassification of expenses to sales revenue required as a result of New IFRS 15.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>Pratibha:</t>
        </r>
        <r>
          <rPr>
            <sz val="9"/>
            <color indexed="81"/>
            <rFont val="Tahoma"/>
            <family val="2"/>
          </rPr>
          <t xml:space="preserve">
As per the annual report, group will no longer present the reversal of sales allowances under other operating income, which is around 7% of total other operating income.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I29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Market value taken from current 9 month report</t>
        </r>
      </text>
    </comment>
    <comment ref="I51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taken from current 9 month report data
</t>
        </r>
      </text>
    </comment>
    <comment ref="I56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taken from current 9 month report data
</t>
        </r>
      </text>
    </comment>
  </commentList>
</comments>
</file>

<file path=xl/sharedStrings.xml><?xml version="1.0" encoding="utf-8"?>
<sst xmlns="http://schemas.openxmlformats.org/spreadsheetml/2006/main" count="361" uniqueCount="238">
  <si>
    <t>Company Name</t>
  </si>
  <si>
    <t>Ticker</t>
  </si>
  <si>
    <t>Last Financial Period</t>
  </si>
  <si>
    <t>Currency</t>
  </si>
  <si>
    <t>Historical</t>
  </si>
  <si>
    <t>Total assets</t>
  </si>
  <si>
    <t>Other liabilities</t>
  </si>
  <si>
    <t>Retained earnings</t>
  </si>
  <si>
    <t>Sector</t>
  </si>
  <si>
    <t>Industry</t>
  </si>
  <si>
    <t>Full-Time employees</t>
  </si>
  <si>
    <t>Balance Sheet</t>
  </si>
  <si>
    <t>Assets held for sale</t>
  </si>
  <si>
    <t>Inventories</t>
  </si>
  <si>
    <t>YoY Growth</t>
  </si>
  <si>
    <t>Consumer Cyclical</t>
  </si>
  <si>
    <t>Template</t>
  </si>
  <si>
    <t>Forecasted</t>
  </si>
  <si>
    <t>Fixed Asset Module</t>
  </si>
  <si>
    <t>Fix Assets break up</t>
  </si>
  <si>
    <t>Useful life</t>
  </si>
  <si>
    <t>Dep rate</t>
  </si>
  <si>
    <t>Land</t>
  </si>
  <si>
    <t>Opening</t>
  </si>
  <si>
    <t>Capex (Addition/Deletion)</t>
  </si>
  <si>
    <t>Closing</t>
  </si>
  <si>
    <t>Capex as % of sales</t>
  </si>
  <si>
    <t>Gross property and equipment</t>
  </si>
  <si>
    <t>Capex</t>
  </si>
  <si>
    <t>Less—Accumulated depreciation</t>
  </si>
  <si>
    <t>Opening Depreciation</t>
  </si>
  <si>
    <t>Depreciation during the year</t>
  </si>
  <si>
    <t xml:space="preserve">Closing Accumulated Depreciation </t>
  </si>
  <si>
    <t>Property and equipment, net</t>
  </si>
  <si>
    <t>LIBOR</t>
  </si>
  <si>
    <t>Auto Manufacturers</t>
  </si>
  <si>
    <t>Volkswagen Aktiengesellschaft</t>
  </si>
  <si>
    <t>VOW3</t>
  </si>
  <si>
    <t>Sales revenue</t>
  </si>
  <si>
    <t>Cost of sales</t>
  </si>
  <si>
    <t>Gross result</t>
  </si>
  <si>
    <t>Distribution expenses</t>
  </si>
  <si>
    <t>Administrative expenses</t>
  </si>
  <si>
    <t>Other operating income</t>
  </si>
  <si>
    <t>Other operating expenses</t>
  </si>
  <si>
    <t>Operating result</t>
  </si>
  <si>
    <t>Share of the result of equity-accounted investments</t>
  </si>
  <si>
    <t>Financial result</t>
  </si>
  <si>
    <t>Earnings before tax</t>
  </si>
  <si>
    <t>Income tax income/expense</t>
  </si>
  <si>
    <t>Current</t>
  </si>
  <si>
    <t>Deferred</t>
  </si>
  <si>
    <t>Earnings after tax</t>
  </si>
  <si>
    <t>of which attributable to</t>
  </si>
  <si>
    <t>Noncontrolling interests</t>
  </si>
  <si>
    <t>Volkswagen AG hybrid capital investors</t>
  </si>
  <si>
    <t>Volkswagen AG shareholders</t>
  </si>
  <si>
    <t>Basic earnings per ordinary share in €</t>
  </si>
  <si>
    <t>Diluted earnings per ordinary share in €</t>
  </si>
  <si>
    <t>Basic earnings per preferred share in €</t>
  </si>
  <si>
    <t>Diluted earnings per preferred share in €</t>
  </si>
  <si>
    <t>−3.20</t>
  </si>
  <si>
    <t>−3.09</t>
  </si>
  <si>
    <t>Interest income1</t>
  </si>
  <si>
    <t>Interest expenses1</t>
  </si>
  <si>
    <t>Other financial result1</t>
  </si>
  <si>
    <t>Income Statement</t>
  </si>
  <si>
    <t>Assets</t>
  </si>
  <si>
    <t>Noncurrent assets</t>
  </si>
  <si>
    <t>Intangible assets</t>
  </si>
  <si>
    <t>Property, plant and equipment</t>
  </si>
  <si>
    <t>Lease assets</t>
  </si>
  <si>
    <t>Investment property</t>
  </si>
  <si>
    <t>Equity-accounted investments</t>
  </si>
  <si>
    <t>Other equity investments</t>
  </si>
  <si>
    <t>Financial services receivables</t>
  </si>
  <si>
    <t>Other financial assets</t>
  </si>
  <si>
    <t>Other receivables</t>
  </si>
  <si>
    <t>Tax receivables</t>
  </si>
  <si>
    <t>Deferred tax assets</t>
  </si>
  <si>
    <t>Current assets</t>
  </si>
  <si>
    <t>Trade receivables</t>
  </si>
  <si>
    <t>Marketable securities</t>
  </si>
  <si>
    <t>Cash, cash equivalents and time deposits</t>
  </si>
  <si>
    <t>–</t>
  </si>
  <si>
    <t>Equity and Liabilities</t>
  </si>
  <si>
    <t>Equity</t>
  </si>
  <si>
    <t>Subscribed capital</t>
  </si>
  <si>
    <t>Capital reserves</t>
  </si>
  <si>
    <t>Other reserves</t>
  </si>
  <si>
    <t>Equity attributable to Volkswagen AG hybrid capital investors</t>
  </si>
  <si>
    <t>Equity attributable to Volkswagen AG shareholders and hybrid capital investors</t>
  </si>
  <si>
    <t>Noncurrent liabilities</t>
  </si>
  <si>
    <t>Financial liabilities</t>
  </si>
  <si>
    <t>Other financial liabilities</t>
  </si>
  <si>
    <t>Deferred tax liabilities</t>
  </si>
  <si>
    <t>Provisions for pensions</t>
  </si>
  <si>
    <t>Provisions for taxes</t>
  </si>
  <si>
    <t>Other provisions</t>
  </si>
  <si>
    <t>Current liabilities</t>
  </si>
  <si>
    <t>Put options and compensation rights granted to noncontrolling interest shareholders</t>
  </si>
  <si>
    <t>Trade payables</t>
  </si>
  <si>
    <t>Tax payables</t>
  </si>
  <si>
    <t>Total equity and liabilities</t>
  </si>
  <si>
    <t>€ million</t>
  </si>
  <si>
    <t>Cash and cash equivalents at beginning of period</t>
  </si>
  <si>
    <t>Income taxes paid</t>
  </si>
  <si>
    <r>
      <t>Depreciation and amortization of, and impairment losses on, intangible assets, property, plant and equipment, and investment property</t>
    </r>
    <r>
      <rPr>
        <vertAlign val="superscript"/>
        <sz val="10"/>
        <color indexed="8"/>
        <rFont val="Arial"/>
        <family val="2"/>
      </rPr>
      <t>1</t>
    </r>
  </si>
  <si>
    <r>
      <t>Amortization of and impairment losses on capitalized development costs</t>
    </r>
    <r>
      <rPr>
        <vertAlign val="superscript"/>
        <sz val="10"/>
        <color indexed="8"/>
        <rFont val="Arial"/>
        <family val="2"/>
      </rPr>
      <t>1</t>
    </r>
  </si>
  <si>
    <r>
      <t>Impairment losses on equity investments</t>
    </r>
    <r>
      <rPr>
        <vertAlign val="superscript"/>
        <sz val="10"/>
        <color indexed="8"/>
        <rFont val="Arial"/>
        <family val="2"/>
      </rPr>
      <t>1</t>
    </r>
  </si>
  <si>
    <r>
      <t>Depreciation of and impairment losses on lease assets</t>
    </r>
    <r>
      <rPr>
        <vertAlign val="superscript"/>
        <sz val="10"/>
        <color indexed="8"/>
        <rFont val="Arial"/>
        <family val="2"/>
      </rPr>
      <t>1</t>
    </r>
  </si>
  <si>
    <t>Gain/loss on disposal of noncurrent assets and equity investments</t>
  </si>
  <si>
    <t>Other noncash expense/income</t>
  </si>
  <si>
    <t>Change in inventories</t>
  </si>
  <si>
    <t>Change in receivables (excluding financial services)</t>
  </si>
  <si>
    <t>Change in liabilities (excluding financial liabilities)</t>
  </si>
  <si>
    <t>Change in provisions</t>
  </si>
  <si>
    <t>Change in lease assets</t>
  </si>
  <si>
    <t>Change in financial services receivables</t>
  </si>
  <si>
    <t>Cash flows from operating activities</t>
  </si>
  <si>
    <t>Investments in intangible assets (excluding development costs), property, plant and equipment, and investment property</t>
  </si>
  <si>
    <t>Additions to capitalized development costs</t>
  </si>
  <si>
    <t>Acquisition of subsidiaries</t>
  </si>
  <si>
    <t>Acquisition of other equity investments</t>
  </si>
  <si>
    <t>Disposal of subsidiaries</t>
  </si>
  <si>
    <t>Disposal of other equity investments</t>
  </si>
  <si>
    <t>Proceeds from disposal of intangible assets, property, plant and equipment, and investment property</t>
  </si>
  <si>
    <t>Change in investments in securities</t>
  </si>
  <si>
    <t>Change in loans and time deposits</t>
  </si>
  <si>
    <t>Cash flows from investing activities</t>
  </si>
  <si>
    <t>Capital contributions</t>
  </si>
  <si>
    <t>Dividends paid</t>
  </si>
  <si>
    <t>Capital transactions with noncontrolling interest shareholders</t>
  </si>
  <si>
    <t>Proceeds from issuance of bonds</t>
  </si>
  <si>
    <t>Repayments of bonds</t>
  </si>
  <si>
    <t>Changes in other financial liabilities</t>
  </si>
  <si>
    <t>Lease payments</t>
  </si>
  <si>
    <t>Cash flows from financing activities</t>
  </si>
  <si>
    <t>Effect of exchange rate changes on cash and cash equivalents</t>
  </si>
  <si>
    <t>Net change in cash and cash equivalents</t>
  </si>
  <si>
    <t>Cash and cash equivalents at end of period</t>
  </si>
  <si>
    <t>Securities, loans and time deposits</t>
  </si>
  <si>
    <t>Gross liquidity</t>
  </si>
  <si>
    <t>Total third-party borrowings</t>
  </si>
  <si>
    <t>Net liquidity</t>
  </si>
  <si>
    <t>Other changes</t>
  </si>
  <si>
    <t>Cash Flow Statement</t>
  </si>
  <si>
    <t>STRUCTURE OF GROUP SALES REVENUE</t>
  </si>
  <si>
    <t>Vehicles</t>
  </si>
  <si>
    <t>Genuine parts</t>
  </si>
  <si>
    <t>Used vehicles and third-party products</t>
  </si>
  <si>
    <t>Engines, powertrains and parts deliveries</t>
  </si>
  <si>
    <t>Power Engineering</t>
  </si>
  <si>
    <t>Motorcycles</t>
  </si>
  <si>
    <t>Leasing business</t>
  </si>
  <si>
    <t>Interest and similar income</t>
  </si>
  <si>
    <t>Other sales revenue</t>
  </si>
  <si>
    <t>% of Total Sales</t>
  </si>
  <si>
    <t>Cost of Sales as % of Sales Revenue</t>
  </si>
  <si>
    <t>Distribution expenses as a % of Sales Revenue</t>
  </si>
  <si>
    <t>Administrative expenses as a % of Sales Revenue</t>
  </si>
  <si>
    <t>Other operating expenses as a % of sales revenue</t>
  </si>
  <si>
    <t>Passenger Cars</t>
  </si>
  <si>
    <t>Total segments</t>
  </si>
  <si>
    <t>Volkswagen Group</t>
  </si>
  <si>
    <t>Reconciliation</t>
  </si>
  <si>
    <t>Passenger Cars Segment</t>
  </si>
  <si>
    <t>Commercial Vehicles Segment</t>
  </si>
  <si>
    <t>Power Engineering Segment</t>
  </si>
  <si>
    <t>Financial Services Segment</t>
  </si>
  <si>
    <t>Income tax expense as a % of EBT</t>
  </si>
  <si>
    <t>Intangible assets as a % of sales</t>
  </si>
  <si>
    <t>Lease assets as a % of sales</t>
  </si>
  <si>
    <t>Other receivables as a % of sales</t>
  </si>
  <si>
    <t>Financial services receivables as a % of sales</t>
  </si>
  <si>
    <t>Non Current assets</t>
  </si>
  <si>
    <t>Inventories as a % of Cost of sales</t>
  </si>
  <si>
    <t>Trade receivables as a % of Sales</t>
  </si>
  <si>
    <t>Other financial assets as a % of sales</t>
  </si>
  <si>
    <t>Other liabilities as a % of cost of sales</t>
  </si>
  <si>
    <t>Trade payables as a % of cost of sales</t>
  </si>
  <si>
    <t>Tally</t>
  </si>
  <si>
    <t>Buildings</t>
  </si>
  <si>
    <t>Site Improvements</t>
  </si>
  <si>
    <t>Technical equipments and machinery</t>
  </si>
  <si>
    <t>Other equipments, operating and office equipments, including special tools</t>
  </si>
  <si>
    <t>20-50</t>
  </si>
  <si>
    <t>10-20</t>
  </si>
  <si>
    <t>6-12</t>
  </si>
  <si>
    <t>3-15</t>
  </si>
  <si>
    <t>Land, land rights and buildings, including buildings on third-party land</t>
  </si>
  <si>
    <t>Other equipment, operating and office equipment</t>
  </si>
  <si>
    <t>Payments on account and assets under construction</t>
  </si>
  <si>
    <t>Closing Depreciation as % of Gross PP&amp;E</t>
  </si>
  <si>
    <t>Depreciation during the year as % of Gross PP&amp;E</t>
  </si>
  <si>
    <t>Brand names</t>
  </si>
  <si>
    <t>Goodwill</t>
  </si>
  <si>
    <t>Capitalized development costs for products under development</t>
  </si>
  <si>
    <t>Capitalized development costs for products currently in use</t>
  </si>
  <si>
    <t>Other intangible assets</t>
  </si>
  <si>
    <t>Gross Intangible Assets</t>
  </si>
  <si>
    <t>Less—Amortization and Impairment</t>
  </si>
  <si>
    <t>During the year</t>
  </si>
  <si>
    <t>Opening A &amp; I</t>
  </si>
  <si>
    <t>Closing A &amp; I</t>
  </si>
  <si>
    <t>Intangible Assets, net</t>
  </si>
  <si>
    <t>Closing A &amp; I as % of Gross Intangible Assets</t>
  </si>
  <si>
    <t>A &amp; I during the year as % of Gross Intangible Assets</t>
  </si>
  <si>
    <t>Intangible Assets</t>
  </si>
  <si>
    <t>Leasing Assets</t>
  </si>
  <si>
    <t>Less—Depreciation and Impairment</t>
  </si>
  <si>
    <t>Opening D &amp; I</t>
  </si>
  <si>
    <t>Closing D &amp; I</t>
  </si>
  <si>
    <t>Leasing Assets, net</t>
  </si>
  <si>
    <t>Closing D &amp; I as % of Gross Leasing Assets</t>
  </si>
  <si>
    <t>D &amp; I during the year as % of Gross Leasing Assets</t>
  </si>
  <si>
    <t>Gross Leasing Assets</t>
  </si>
  <si>
    <t>Investment Property</t>
  </si>
  <si>
    <t>Closing D &amp; I as % of Gross Investment Property</t>
  </si>
  <si>
    <t>D &amp; I during the year as % of Gross Investment Property</t>
  </si>
  <si>
    <t>Gross Investment Property</t>
  </si>
  <si>
    <t>Investment Property, net</t>
  </si>
  <si>
    <t>Total Capex</t>
  </si>
  <si>
    <t>Cape excluding capitalized development costs</t>
  </si>
  <si>
    <t>Total depreciation, Impairment and amortization</t>
  </si>
  <si>
    <t>Tax receivables as a % of sales</t>
  </si>
  <si>
    <t>Weighted Average number of shares outstanding</t>
  </si>
  <si>
    <t>Ordinary Shares</t>
  </si>
  <si>
    <t>Basic</t>
  </si>
  <si>
    <t>Diluted</t>
  </si>
  <si>
    <t>Preferred Shares</t>
  </si>
  <si>
    <t>Basic Earning Attributable to Ordinary Shares</t>
  </si>
  <si>
    <t>Diluted Earning Attributable to Ordinary Shares</t>
  </si>
  <si>
    <t>Basic Earning Attributable to Preferred Shares</t>
  </si>
  <si>
    <t>Diluted Earning Attributable to Preferred Shares</t>
  </si>
  <si>
    <t>Other Operating Income as % of sales revenue</t>
  </si>
  <si>
    <t>Revenue Drivers</t>
  </si>
  <si>
    <t>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</si>
</sst>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164" formatCode="[$-409]mmm\-yy;@"/>
    <numFmt numFmtId="165" formatCode="mmm\ yy"/>
    <numFmt numFmtId="166" formatCode="0.0%"/>
    <numFmt numFmtId="167" formatCode="#,##0.0"/>
    <numFmt numFmtId="168" formatCode="0.0"/>
    <numFmt numFmtId="170" formatCode="0.000%"/>
    <numFmt numFmtId="171" formatCode="0.0000%"/>
    <numFmt numFmtId="172" formatCode="#,##0.00000_);[Red]\(#,##0.00000\)"/>
    <numFmt numFmtId="173" formatCode="#,##0.000000_);[Red]\(#,##0.000000\)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color rgb="FF000000"/>
      <name val="Arial Unicode MS"/>
      <family val="2"/>
    </font>
    <font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58"/>
      <name val="Arial"/>
      <family val="2"/>
    </font>
    <font>
      <i/>
      <sz val="9"/>
      <color theme="4" tint="-0.249977111117893"/>
      <name val="Calibri Light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color rgb="FF0070C0"/>
      <name val="Calibri Light"/>
      <family val="2"/>
      <scheme val="major"/>
    </font>
    <font>
      <b/>
      <u/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CC471E"/>
      </left>
      <right/>
      <top style="medium">
        <color rgb="FFCC471E"/>
      </top>
      <bottom/>
      <diagonal/>
    </border>
    <border>
      <left/>
      <right/>
      <top style="medium">
        <color rgb="FFCC471E"/>
      </top>
      <bottom/>
      <diagonal/>
    </border>
    <border>
      <left/>
      <right style="medium">
        <color rgb="FFCC471E"/>
      </right>
      <top style="medium">
        <color rgb="FFCC471E"/>
      </top>
      <bottom/>
      <diagonal/>
    </border>
    <border>
      <left style="medium">
        <color rgb="FFCC471E"/>
      </left>
      <right/>
      <top/>
      <bottom/>
      <diagonal/>
    </border>
    <border>
      <left/>
      <right style="medium">
        <color rgb="FFCC471E"/>
      </right>
      <top/>
      <bottom/>
      <diagonal/>
    </border>
    <border>
      <left style="medium">
        <color rgb="FFCC471E"/>
      </left>
      <right/>
      <top/>
      <bottom style="medium">
        <color rgb="FFCC471E"/>
      </bottom>
      <diagonal/>
    </border>
    <border>
      <left/>
      <right/>
      <top/>
      <bottom style="medium">
        <color rgb="FFCC471E"/>
      </bottom>
      <diagonal/>
    </border>
    <border>
      <left/>
      <right style="medium">
        <color rgb="FFCC471E"/>
      </right>
      <top/>
      <bottom style="medium">
        <color rgb="FFCC471E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0">
    <xf numFmtId="0" fontId="0" fillId="0" borderId="0" xfId="0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3" fontId="0" fillId="0" borderId="0" xfId="0" applyNumberFormat="1"/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4" borderId="0" xfId="0" applyFill="1"/>
    <xf numFmtId="166" fontId="0" fillId="0" borderId="0" xfId="0" applyNumberFormat="1"/>
    <xf numFmtId="167" fontId="0" fillId="0" borderId="0" xfId="0" applyNumberFormat="1"/>
    <xf numFmtId="0" fontId="0" fillId="0" borderId="0" xfId="0"/>
    <xf numFmtId="0" fontId="6" fillId="0" borderId="0" xfId="0" applyFont="1"/>
    <xf numFmtId="0" fontId="7" fillId="2" borderId="0" xfId="0" applyFont="1" applyFill="1" applyBorder="1"/>
    <xf numFmtId="0" fontId="8" fillId="2" borderId="0" xfId="0" applyFont="1" applyFill="1" applyBorder="1" applyAlignment="1">
      <alignment horizontal="center"/>
    </xf>
    <xf numFmtId="15" fontId="8" fillId="2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2" xfId="0" applyFont="1" applyBorder="1" applyAlignment="1">
      <alignment horizontal="left" indent="1"/>
    </xf>
    <xf numFmtId="10" fontId="0" fillId="0" borderId="0" xfId="0" applyNumberFormat="1"/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1" fillId="0" borderId="3" xfId="0" applyFont="1" applyBorder="1" applyAlignment="1">
      <alignment horizontal="left" indent="1"/>
    </xf>
    <xf numFmtId="0" fontId="0" fillId="0" borderId="3" xfId="0" applyBorder="1"/>
    <xf numFmtId="166" fontId="0" fillId="0" borderId="3" xfId="0" applyNumberFormat="1" applyBorder="1"/>
    <xf numFmtId="0" fontId="1" fillId="0" borderId="5" xfId="0" applyFont="1" applyBorder="1"/>
    <xf numFmtId="0" fontId="1" fillId="5" borderId="5" xfId="0" applyFont="1" applyFill="1" applyBorder="1"/>
    <xf numFmtId="167" fontId="0" fillId="5" borderId="6" xfId="0" applyNumberFormat="1" applyFill="1" applyBorder="1"/>
    <xf numFmtId="0" fontId="1" fillId="0" borderId="17" xfId="0" applyFont="1" applyBorder="1" applyAlignment="1">
      <alignment horizontal="left" indent="1"/>
    </xf>
    <xf numFmtId="0" fontId="1" fillId="0" borderId="17" xfId="0" applyFont="1" applyBorder="1"/>
    <xf numFmtId="167" fontId="0" fillId="4" borderId="0" xfId="0" applyNumberFormat="1" applyFill="1"/>
    <xf numFmtId="166" fontId="0" fillId="4" borderId="3" xfId="0" applyNumberFormat="1" applyFill="1" applyBorder="1"/>
    <xf numFmtId="0" fontId="0" fillId="4" borderId="0" xfId="0" applyFill="1" applyBorder="1"/>
    <xf numFmtId="167" fontId="1" fillId="4" borderId="6" xfId="0" applyNumberFormat="1" applyFont="1" applyFill="1" applyBorder="1"/>
    <xf numFmtId="167" fontId="1" fillId="4" borderId="17" xfId="0" applyNumberFormat="1" applyFont="1" applyFill="1" applyBorder="1"/>
    <xf numFmtId="3" fontId="1" fillId="0" borderId="6" xfId="0" applyNumberFormat="1" applyFont="1" applyBorder="1"/>
    <xf numFmtId="10" fontId="0" fillId="0" borderId="0" xfId="0" applyNumberFormat="1" applyAlignment="1">
      <alignment horizontal="center"/>
    </xf>
    <xf numFmtId="0" fontId="0" fillId="0" borderId="17" xfId="0" applyBorder="1"/>
    <xf numFmtId="0" fontId="0" fillId="0" borderId="22" xfId="0" applyBorder="1"/>
    <xf numFmtId="168" fontId="0" fillId="4" borderId="0" xfId="0" applyNumberFormat="1" applyFill="1"/>
    <xf numFmtId="0" fontId="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168" fontId="0" fillId="0" borderId="0" xfId="0" applyNumberFormat="1"/>
    <xf numFmtId="0" fontId="0" fillId="0" borderId="0" xfId="0" applyFill="1" applyBorder="1"/>
    <xf numFmtId="0" fontId="3" fillId="6" borderId="0" xfId="0" applyFont="1" applyFill="1"/>
    <xf numFmtId="0" fontId="2" fillId="6" borderId="0" xfId="0" applyFont="1" applyFill="1"/>
    <xf numFmtId="0" fontId="10" fillId="6" borderId="0" xfId="0" applyFont="1" applyFill="1"/>
    <xf numFmtId="0" fontId="4" fillId="6" borderId="0" xfId="0" applyFont="1" applyFill="1"/>
    <xf numFmtId="0" fontId="11" fillId="6" borderId="0" xfId="0" applyFont="1" applyFill="1"/>
    <xf numFmtId="165" fontId="2" fillId="6" borderId="1" xfId="0" applyNumberFormat="1" applyFont="1" applyFill="1" applyBorder="1"/>
    <xf numFmtId="165" fontId="2" fillId="6" borderId="0" xfId="0" applyNumberFormat="1" applyFont="1" applyFill="1"/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1" fillId="0" borderId="25" xfId="0" applyFont="1" applyBorder="1"/>
    <xf numFmtId="3" fontId="1" fillId="0" borderId="25" xfId="0" applyNumberFormat="1" applyFont="1" applyBorder="1" applyAlignment="1">
      <alignment horizontal="right" vertical="top"/>
    </xf>
    <xf numFmtId="3" fontId="1" fillId="0" borderId="25" xfId="0" applyNumberFormat="1" applyFont="1" applyBorder="1"/>
    <xf numFmtId="3" fontId="1" fillId="0" borderId="6" xfId="0" applyNumberFormat="1" applyFont="1" applyBorder="1" applyAlignment="1">
      <alignment horizontal="right" vertical="top"/>
    </xf>
    <xf numFmtId="0" fontId="0" fillId="4" borderId="0" xfId="0" applyFont="1" applyFill="1"/>
    <xf numFmtId="0" fontId="0" fillId="0" borderId="25" xfId="0" applyBorder="1"/>
    <xf numFmtId="0" fontId="15" fillId="0" borderId="5" xfId="0" applyFont="1" applyBorder="1"/>
    <xf numFmtId="3" fontId="15" fillId="0" borderId="6" xfId="0" applyNumberFormat="1" applyFont="1" applyBorder="1"/>
    <xf numFmtId="3" fontId="1" fillId="0" borderId="3" xfId="0" applyNumberFormat="1" applyFont="1" applyBorder="1"/>
    <xf numFmtId="49" fontId="16" fillId="0" borderId="0" xfId="0" applyNumberFormat="1" applyFont="1" applyFill="1" applyBorder="1" applyAlignment="1" applyProtection="1">
      <alignment horizontal="right"/>
      <protection locked="0"/>
    </xf>
    <xf numFmtId="49" fontId="17" fillId="0" borderId="0" xfId="0" applyNumberFormat="1" applyFont="1" applyFill="1" applyBorder="1" applyAlignment="1" applyProtection="1">
      <alignment horizontal="right"/>
      <protection locked="0"/>
    </xf>
    <xf numFmtId="49" fontId="17" fillId="0" borderId="0" xfId="0" applyNumberFormat="1" applyFont="1" applyFill="1" applyBorder="1" applyAlignment="1" applyProtection="1">
      <protection locked="0"/>
    </xf>
    <xf numFmtId="49" fontId="18" fillId="0" borderId="0" xfId="0" applyNumberFormat="1" applyFont="1" applyFill="1" applyBorder="1" applyAlignment="1" applyProtection="1"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Fill="1" applyBorder="1" applyAlignment="1" applyProtection="1">
      <protection locked="0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1" fontId="19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Fill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Fill="1" applyBorder="1" applyAlignment="1" applyProtection="1">
      <alignment horizontal="left" indent="1"/>
      <protection locked="0"/>
    </xf>
    <xf numFmtId="49" fontId="19" fillId="0" borderId="0" xfId="0" applyNumberFormat="1" applyFont="1" applyFill="1" applyBorder="1" applyAlignment="1" applyProtection="1">
      <alignment horizontal="left" indent="2"/>
      <protection locked="0"/>
    </xf>
    <xf numFmtId="49" fontId="18" fillId="5" borderId="0" xfId="0" applyNumberFormat="1" applyFont="1" applyFill="1" applyBorder="1" applyAlignment="1" applyProtection="1">
      <protection locked="0"/>
    </xf>
    <xf numFmtId="3" fontId="18" fillId="5" borderId="0" xfId="0" applyNumberFormat="1" applyFont="1" applyFill="1" applyBorder="1" applyAlignment="1" applyProtection="1">
      <alignment horizontal="right"/>
      <protection locked="0"/>
    </xf>
    <xf numFmtId="49" fontId="18" fillId="0" borderId="5" xfId="0" applyNumberFormat="1" applyFont="1" applyFill="1" applyBorder="1" applyAlignment="1" applyProtection="1">
      <protection locked="0"/>
    </xf>
    <xf numFmtId="3" fontId="18" fillId="0" borderId="6" xfId="0" applyNumberFormat="1" applyFont="1" applyFill="1" applyBorder="1" applyAlignment="1" applyProtection="1">
      <alignment horizontal="right"/>
      <protection locked="0"/>
    </xf>
    <xf numFmtId="1" fontId="18" fillId="0" borderId="6" xfId="0" applyNumberFormat="1" applyFont="1" applyFill="1" applyBorder="1" applyAlignment="1" applyProtection="1">
      <alignment horizontal="right"/>
      <protection locked="0"/>
    </xf>
    <xf numFmtId="49" fontId="18" fillId="0" borderId="25" xfId="0" applyNumberFormat="1" applyFont="1" applyFill="1" applyBorder="1" applyAlignment="1" applyProtection="1">
      <protection locked="0"/>
    </xf>
    <xf numFmtId="3" fontId="18" fillId="0" borderId="25" xfId="0" applyNumberFormat="1" applyFont="1" applyFill="1" applyBorder="1" applyAlignment="1" applyProtection="1">
      <alignment horizontal="right"/>
      <protection locked="0"/>
    </xf>
    <xf numFmtId="49" fontId="21" fillId="0" borderId="0" xfId="0" applyNumberFormat="1" applyFont="1" applyFill="1" applyBorder="1" applyAlignment="1" applyProtection="1">
      <alignment vertical="top"/>
      <protection locked="0"/>
    </xf>
    <xf numFmtId="49" fontId="22" fillId="0" borderId="0" xfId="0" applyNumberFormat="1" applyFont="1" applyFill="1" applyBorder="1" applyAlignment="1" applyProtection="1">
      <protection locked="0"/>
    </xf>
    <xf numFmtId="166" fontId="22" fillId="0" borderId="0" xfId="0" applyNumberFormat="1" applyFont="1" applyFill="1" applyBorder="1" applyAlignment="1" applyProtection="1">
      <alignment horizontal="right"/>
      <protection locked="0"/>
    </xf>
    <xf numFmtId="10" fontId="0" fillId="4" borderId="0" xfId="0" applyNumberFormat="1" applyFill="1"/>
    <xf numFmtId="38" fontId="0" fillId="4" borderId="0" xfId="0" applyNumberFormat="1" applyFill="1"/>
    <xf numFmtId="38" fontId="1" fillId="4" borderId="25" xfId="0" applyNumberFormat="1" applyFont="1" applyFill="1" applyBorder="1"/>
    <xf numFmtId="38" fontId="1" fillId="4" borderId="0" xfId="0" applyNumberFormat="1" applyFont="1" applyFill="1"/>
    <xf numFmtId="38" fontId="1" fillId="4" borderId="6" xfId="0" applyNumberFormat="1" applyFont="1" applyFill="1" applyBorder="1"/>
    <xf numFmtId="38" fontId="1" fillId="4" borderId="7" xfId="0" applyNumberFormat="1" applyFont="1" applyFill="1" applyBorder="1"/>
    <xf numFmtId="3" fontId="1" fillId="0" borderId="0" xfId="0" applyNumberFormat="1" applyFont="1"/>
    <xf numFmtId="3" fontId="0" fillId="4" borderId="0" xfId="0" applyNumberFormat="1" applyFill="1"/>
    <xf numFmtId="10" fontId="22" fillId="4" borderId="0" xfId="0" applyNumberFormat="1" applyFont="1" applyFill="1"/>
    <xf numFmtId="170" fontId="22" fillId="4" borderId="0" xfId="0" applyNumberFormat="1" applyFont="1" applyFill="1"/>
    <xf numFmtId="9" fontId="22" fillId="4" borderId="0" xfId="0" applyNumberFormat="1" applyFont="1" applyFill="1"/>
    <xf numFmtId="166" fontId="22" fillId="4" borderId="0" xfId="0" applyNumberFormat="1" applyFont="1" applyFill="1"/>
    <xf numFmtId="0" fontId="14" fillId="4" borderId="0" xfId="1" applyFill="1"/>
    <xf numFmtId="3" fontId="1" fillId="4" borderId="0" xfId="0" applyNumberFormat="1" applyFont="1" applyFill="1"/>
    <xf numFmtId="166" fontId="25" fillId="4" borderId="0" xfId="0" applyNumberFormat="1" applyFont="1" applyFill="1"/>
    <xf numFmtId="3" fontId="1" fillId="4" borderId="25" xfId="0" applyNumberFormat="1" applyFont="1" applyFill="1" applyBorder="1"/>
    <xf numFmtId="3" fontId="0" fillId="0" borderId="0" xfId="0" applyNumberFormat="1" applyAlignment="1">
      <alignment horizontal="center"/>
    </xf>
    <xf numFmtId="3" fontId="15" fillId="4" borderId="6" xfId="0" applyNumberFormat="1" applyFont="1" applyFill="1" applyBorder="1"/>
    <xf numFmtId="3" fontId="15" fillId="4" borderId="7" xfId="0" applyNumberFormat="1" applyFont="1" applyFill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41" fontId="0" fillId="4" borderId="0" xfId="0" applyNumberFormat="1" applyFill="1" applyAlignment="1">
      <alignment horizontal="center"/>
    </xf>
    <xf numFmtId="38" fontId="0" fillId="4" borderId="6" xfId="0" applyNumberFormat="1" applyFill="1" applyBorder="1"/>
    <xf numFmtId="38" fontId="0" fillId="4" borderId="7" xfId="0" applyNumberFormat="1" applyFill="1" applyBorder="1"/>
    <xf numFmtId="3" fontId="0" fillId="5" borderId="0" xfId="0" applyNumberFormat="1" applyFill="1"/>
    <xf numFmtId="3" fontId="1" fillId="4" borderId="6" xfId="0" applyNumberFormat="1" applyFont="1" applyFill="1" applyBorder="1"/>
    <xf numFmtId="3" fontId="1" fillId="0" borderId="17" xfId="0" applyNumberFormat="1" applyFont="1" applyBorder="1"/>
    <xf numFmtId="3" fontId="1" fillId="4" borderId="17" xfId="0" applyNumberFormat="1" applyFont="1" applyFill="1" applyBorder="1"/>
    <xf numFmtId="0" fontId="26" fillId="0" borderId="0" xfId="0" applyFont="1"/>
    <xf numFmtId="166" fontId="0" fillId="0" borderId="0" xfId="0" applyNumberFormat="1" applyBorder="1"/>
    <xf numFmtId="166" fontId="0" fillId="4" borderId="0" xfId="0" applyNumberFormat="1" applyFill="1" applyBorder="1"/>
    <xf numFmtId="3" fontId="0" fillId="5" borderId="6" xfId="0" applyNumberFormat="1" applyFill="1" applyBorder="1"/>
    <xf numFmtId="3" fontId="0" fillId="7" borderId="6" xfId="0" applyNumberFormat="1" applyFill="1" applyBorder="1"/>
    <xf numFmtId="167" fontId="0" fillId="7" borderId="6" xfId="0" applyNumberFormat="1" applyFill="1" applyBorder="1"/>
    <xf numFmtId="3" fontId="0" fillId="0" borderId="0" xfId="0" applyNumberFormat="1" applyBorder="1"/>
    <xf numFmtId="3" fontId="0" fillId="4" borderId="0" xfId="0" applyNumberFormat="1" applyFill="1" applyBorder="1"/>
    <xf numFmtId="10" fontId="0" fillId="4" borderId="0" xfId="0" applyNumberFormat="1" applyFill="1" applyBorder="1"/>
    <xf numFmtId="0" fontId="6" fillId="0" borderId="0" xfId="0" applyFont="1" applyBorder="1"/>
    <xf numFmtId="0" fontId="26" fillId="0" borderId="27" xfId="0" applyFont="1" applyBorder="1"/>
    <xf numFmtId="0" fontId="0" fillId="0" borderId="28" xfId="0" applyBorder="1"/>
    <xf numFmtId="0" fontId="0" fillId="0" borderId="30" xfId="0" applyBorder="1"/>
    <xf numFmtId="3" fontId="0" fillId="4" borderId="31" xfId="0" applyNumberFormat="1" applyFill="1" applyBorder="1"/>
    <xf numFmtId="3" fontId="1" fillId="0" borderId="0" xfId="0" applyNumberFormat="1" applyFont="1" applyBorder="1"/>
    <xf numFmtId="3" fontId="1" fillId="4" borderId="0" xfId="0" applyNumberFormat="1" applyFont="1" applyFill="1" applyBorder="1"/>
    <xf numFmtId="3" fontId="1" fillId="4" borderId="31" xfId="0" applyNumberFormat="1" applyFont="1" applyFill="1" applyBorder="1"/>
    <xf numFmtId="0" fontId="0" fillId="0" borderId="20" xfId="0" applyFont="1" applyBorder="1" applyAlignment="1">
      <alignment horizontal="left" indent="1"/>
    </xf>
    <xf numFmtId="10" fontId="0" fillId="4" borderId="31" xfId="0" applyNumberFormat="1" applyFill="1" applyBorder="1"/>
    <xf numFmtId="166" fontId="0" fillId="4" borderId="31" xfId="0" applyNumberFormat="1" applyFill="1" applyBorder="1"/>
    <xf numFmtId="0" fontId="1" fillId="0" borderId="26" xfId="0" applyFont="1" applyBorder="1"/>
    <xf numFmtId="0" fontId="1" fillId="5" borderId="26" xfId="0" applyFont="1" applyFill="1" applyBorder="1"/>
    <xf numFmtId="167" fontId="0" fillId="5" borderId="0" xfId="0" applyNumberFormat="1" applyFill="1" applyBorder="1"/>
    <xf numFmtId="0" fontId="0" fillId="4" borderId="31" xfId="0" applyFill="1" applyBorder="1"/>
    <xf numFmtId="0" fontId="0" fillId="0" borderId="32" xfId="0" applyBorder="1"/>
    <xf numFmtId="0" fontId="0" fillId="0" borderId="33" xfId="0" applyBorder="1"/>
    <xf numFmtId="0" fontId="6" fillId="0" borderId="18" xfId="0" applyFont="1" applyBorder="1"/>
    <xf numFmtId="0" fontId="0" fillId="4" borderId="17" xfId="0" applyFill="1" applyBorder="1"/>
    <xf numFmtId="0" fontId="0" fillId="4" borderId="19" xfId="0" applyFill="1" applyBorder="1"/>
    <xf numFmtId="0" fontId="6" fillId="0" borderId="21" xfId="0" applyFont="1" applyBorder="1"/>
    <xf numFmtId="167" fontId="1" fillId="0" borderId="22" xfId="0" applyNumberFormat="1" applyFont="1" applyBorder="1"/>
    <xf numFmtId="167" fontId="1" fillId="4" borderId="22" xfId="0" applyNumberFormat="1" applyFont="1" applyFill="1" applyBorder="1"/>
    <xf numFmtId="167" fontId="1" fillId="4" borderId="23" xfId="0" applyNumberFormat="1" applyFont="1" applyFill="1" applyBorder="1"/>
    <xf numFmtId="167" fontId="0" fillId="0" borderId="17" xfId="0" applyNumberFormat="1" applyBorder="1"/>
    <xf numFmtId="167" fontId="0" fillId="4" borderId="17" xfId="0" applyNumberFormat="1" applyFill="1" applyBorder="1"/>
    <xf numFmtId="3" fontId="1" fillId="0" borderId="22" xfId="0" applyNumberFormat="1" applyFont="1" applyBorder="1"/>
    <xf numFmtId="3" fontId="1" fillId="4" borderId="22" xfId="0" applyNumberFormat="1" applyFont="1" applyFill="1" applyBorder="1"/>
    <xf numFmtId="3" fontId="1" fillId="4" borderId="23" xfId="0" applyNumberFormat="1" applyFont="1" applyFill="1" applyBorder="1"/>
    <xf numFmtId="0" fontId="0" fillId="4" borderId="28" xfId="0" applyFill="1" applyBorder="1"/>
    <xf numFmtId="0" fontId="0" fillId="4" borderId="29" xfId="0" applyFill="1" applyBorder="1"/>
    <xf numFmtId="3" fontId="0" fillId="4" borderId="33" xfId="0" applyNumberFormat="1" applyFill="1" applyBorder="1"/>
    <xf numFmtId="0" fontId="0" fillId="4" borderId="33" xfId="0" applyFill="1" applyBorder="1"/>
    <xf numFmtId="0" fontId="0" fillId="4" borderId="34" xfId="0" applyFill="1" applyBorder="1"/>
    <xf numFmtId="3" fontId="0" fillId="7" borderId="0" xfId="0" applyNumberFormat="1" applyFill="1" applyBorder="1"/>
    <xf numFmtId="3" fontId="0" fillId="7" borderId="31" xfId="0" applyNumberFormat="1" applyFill="1" applyBorder="1"/>
    <xf numFmtId="171" fontId="25" fillId="4" borderId="0" xfId="0" applyNumberFormat="1" applyFont="1" applyFill="1"/>
    <xf numFmtId="172" fontId="0" fillId="4" borderId="0" xfId="0" applyNumberFormat="1" applyFill="1"/>
    <xf numFmtId="173" fontId="0" fillId="4" borderId="0" xfId="0" applyNumberFormat="1" applyFill="1"/>
    <xf numFmtId="4" fontId="0" fillId="0" borderId="0" xfId="0" applyNumberFormat="1" applyBorder="1" applyAlignment="1">
      <alignment horizontal="right" vertical="top"/>
    </xf>
    <xf numFmtId="40" fontId="0" fillId="4" borderId="0" xfId="0" applyNumberFormat="1" applyFill="1" applyBorder="1"/>
    <xf numFmtId="0" fontId="0" fillId="0" borderId="35" xfId="0" applyBorder="1"/>
    <xf numFmtId="4" fontId="0" fillId="0" borderId="36" xfId="0" applyNumberFormat="1" applyBorder="1" applyAlignment="1">
      <alignment horizontal="right" vertical="top"/>
    </xf>
    <xf numFmtId="40" fontId="0" fillId="4" borderId="36" xfId="0" applyNumberFormat="1" applyFill="1" applyBorder="1"/>
    <xf numFmtId="40" fontId="0" fillId="4" borderId="37" xfId="0" applyNumberFormat="1" applyFill="1" applyBorder="1"/>
    <xf numFmtId="0" fontId="0" fillId="0" borderId="38" xfId="0" applyBorder="1"/>
    <xf numFmtId="40" fontId="0" fillId="4" borderId="39" xfId="0" applyNumberFormat="1" applyFill="1" applyBorder="1"/>
    <xf numFmtId="0" fontId="0" fillId="0" borderId="40" xfId="0" applyBorder="1"/>
    <xf numFmtId="4" fontId="0" fillId="0" borderId="41" xfId="0" applyNumberFormat="1" applyBorder="1" applyAlignment="1">
      <alignment horizontal="right" vertical="top"/>
    </xf>
    <xf numFmtId="40" fontId="0" fillId="4" borderId="41" xfId="0" applyNumberFormat="1" applyFill="1" applyBorder="1"/>
    <xf numFmtId="40" fontId="0" fillId="4" borderId="42" xfId="0" applyNumberFormat="1" applyFill="1" applyBorder="1"/>
    <xf numFmtId="0" fontId="0" fillId="2" borderId="0" xfId="0" applyFill="1" applyAlignment="1">
      <alignment horizontal="left" indent="2"/>
    </xf>
    <xf numFmtId="0" fontId="1" fillId="2" borderId="25" xfId="0" applyFont="1" applyFill="1" applyBorder="1"/>
    <xf numFmtId="0" fontId="0" fillId="2" borderId="0" xfId="0" applyFill="1"/>
    <xf numFmtId="0" fontId="1" fillId="2" borderId="2" xfId="0" applyFont="1" applyFill="1" applyBorder="1"/>
    <xf numFmtId="0" fontId="1" fillId="2" borderId="0" xfId="0" applyFont="1" applyFill="1"/>
    <xf numFmtId="0" fontId="0" fillId="2" borderId="25" xfId="0" applyFill="1" applyBorder="1"/>
    <xf numFmtId="10" fontId="27" fillId="0" borderId="0" xfId="0" applyNumberFormat="1" applyFont="1"/>
    <xf numFmtId="10" fontId="27" fillId="4" borderId="0" xfId="0" applyNumberFormat="1" applyFont="1" applyFill="1"/>
    <xf numFmtId="0" fontId="2" fillId="6" borderId="0" xfId="0" applyFont="1" applyFill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3" fillId="6" borderId="0" xfId="0" applyFont="1" applyFill="1"/>
    <xf numFmtId="0" fontId="4" fillId="6" borderId="0" xfId="0" applyFont="1" applyFill="1"/>
    <xf numFmtId="0" fontId="11" fillId="6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471E"/>
      <color rgb="FFE46A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6:D13"/>
  <sheetViews>
    <sheetView showGridLines="0" workbookViewId="0"/>
  </sheetViews>
  <sheetFormatPr defaultRowHeight="15"/>
  <cols>
    <col min="3" max="3" width="30.85546875" bestFit="1" customWidth="1"/>
    <col min="4" max="4" width="61.42578125" bestFit="1" customWidth="1"/>
  </cols>
  <sheetData>
    <row r="6" spans="3:4" ht="35.1" customHeight="1">
      <c r="C6" s="15" t="s">
        <v>0</v>
      </c>
      <c r="D6" s="16" t="s">
        <v>36</v>
      </c>
    </row>
    <row r="7" spans="3:4" ht="35.1" customHeight="1">
      <c r="C7" s="15" t="s">
        <v>1</v>
      </c>
      <c r="D7" s="16" t="s">
        <v>37</v>
      </c>
    </row>
    <row r="8" spans="3:4" ht="35.1" customHeight="1">
      <c r="C8" s="15" t="s">
        <v>2</v>
      </c>
      <c r="D8" s="17">
        <v>43100</v>
      </c>
    </row>
    <row r="9" spans="3:4" ht="15.75">
      <c r="C9" s="15" t="s">
        <v>3</v>
      </c>
      <c r="D9" s="17" t="s">
        <v>104</v>
      </c>
    </row>
    <row r="10" spans="3:4" ht="17.25">
      <c r="C10" s="15" t="s">
        <v>8</v>
      </c>
      <c r="D10" s="16" t="s">
        <v>15</v>
      </c>
    </row>
    <row r="11" spans="3:4" ht="17.25">
      <c r="C11" s="15" t="s">
        <v>9</v>
      </c>
      <c r="D11" s="16" t="s">
        <v>35</v>
      </c>
    </row>
    <row r="12" spans="3:4" ht="17.25">
      <c r="C12" s="15" t="s">
        <v>10</v>
      </c>
      <c r="D12" s="18">
        <v>632312</v>
      </c>
    </row>
    <row r="13" spans="3:4" ht="17.25">
      <c r="C13" s="15" t="s">
        <v>34</v>
      </c>
      <c r="D13" s="49">
        <v>3.0300000000000001E-2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97"/>
  <sheetViews>
    <sheetView showGridLines="0" workbookViewId="0"/>
  </sheetViews>
  <sheetFormatPr defaultColWidth="0" defaultRowHeight="15" zeroHeight="1"/>
  <cols>
    <col min="1" max="1" width="3.7109375" style="2" customWidth="1"/>
    <col min="2" max="2" width="9.140625" style="5" customWidth="1"/>
    <col min="3" max="3" width="42.28515625" style="5" customWidth="1"/>
    <col min="4" max="4" width="10.7109375" style="5" customWidth="1"/>
    <col min="5" max="6" width="10.7109375" style="13" customWidth="1"/>
    <col min="7" max="11" width="10.7109375" style="5" customWidth="1"/>
    <col min="12" max="12" width="3.7109375" style="2" customWidth="1"/>
    <col min="13" max="14" width="0" style="5" hidden="1" customWidth="1"/>
    <col min="15" max="16384" width="9.140625" style="5" hidden="1"/>
  </cols>
  <sheetData>
    <row r="1" spans="2:14" s="2" customFormat="1" ht="15" customHeight="1"/>
    <row r="2" spans="2:14" ht="17.25">
      <c r="B2" s="58" t="str">
        <f>Company_Name</f>
        <v>Volkswagen Aktiengesellschaft</v>
      </c>
      <c r="C2" s="58"/>
      <c r="D2" s="59"/>
      <c r="E2" s="59"/>
      <c r="F2" s="59"/>
      <c r="G2" s="59"/>
      <c r="H2" s="59"/>
      <c r="I2" s="59"/>
      <c r="J2" s="59"/>
      <c r="K2" s="59"/>
    </row>
    <row r="3" spans="2:14">
      <c r="B3" s="60" t="s">
        <v>16</v>
      </c>
      <c r="C3" s="59"/>
      <c r="D3" s="59"/>
      <c r="E3" s="59"/>
      <c r="F3" s="59"/>
      <c r="G3" s="59"/>
      <c r="H3" s="59"/>
      <c r="I3" s="59"/>
      <c r="J3" s="59"/>
      <c r="K3" s="59"/>
    </row>
    <row r="4" spans="2:14">
      <c r="B4" s="61"/>
      <c r="C4" s="61"/>
      <c r="D4" s="59"/>
      <c r="E4" s="59"/>
      <c r="F4" s="59"/>
      <c r="G4" s="59"/>
      <c r="H4" s="59"/>
      <c r="I4" s="59"/>
      <c r="J4" s="59"/>
      <c r="K4" s="59"/>
    </row>
    <row r="5" spans="2:14">
      <c r="B5" s="59"/>
      <c r="C5" s="59"/>
      <c r="D5" s="196" t="s">
        <v>4</v>
      </c>
      <c r="E5" s="196"/>
      <c r="F5" s="196"/>
      <c r="G5" s="196"/>
      <c r="H5" s="196"/>
      <c r="I5" s="195" t="s">
        <v>17</v>
      </c>
      <c r="J5" s="195"/>
      <c r="K5" s="195"/>
    </row>
    <row r="6" spans="2:14" ht="18" customHeight="1">
      <c r="B6" s="62" t="str">
        <f>Currency</f>
        <v>€ million</v>
      </c>
      <c r="C6" s="62"/>
      <c r="D6" s="63">
        <f>EDATE(E6,-12)</f>
        <v>41639</v>
      </c>
      <c r="E6" s="63">
        <f>EDATE(F6,-12)</f>
        <v>42004</v>
      </c>
      <c r="F6" s="63">
        <f>EDATE(G6,-12)</f>
        <v>42369</v>
      </c>
      <c r="G6" s="63">
        <f>EDATE(H6, -12)</f>
        <v>42735</v>
      </c>
      <c r="H6" s="63">
        <f>Last_Financial_Period</f>
        <v>43100</v>
      </c>
      <c r="I6" s="64">
        <f>EDATE(H6,12)</f>
        <v>43465</v>
      </c>
      <c r="J6" s="64">
        <f>EDATE(I6,12)</f>
        <v>43830</v>
      </c>
      <c r="K6" s="64">
        <f>EDATE(J6,12)</f>
        <v>44196</v>
      </c>
      <c r="L6" s="3"/>
      <c r="M6" s="1"/>
      <c r="N6" s="1"/>
    </row>
    <row r="7" spans="2:14">
      <c r="I7" s="10"/>
      <c r="J7" s="10"/>
      <c r="K7" s="10"/>
    </row>
    <row r="8" spans="2:14">
      <c r="I8" s="10"/>
      <c r="J8" s="10"/>
      <c r="K8" s="10"/>
    </row>
    <row r="9" spans="2:14">
      <c r="I9" s="10"/>
      <c r="J9" s="10"/>
      <c r="K9" s="10"/>
    </row>
    <row r="10" spans="2:14">
      <c r="I10" s="10"/>
      <c r="J10" s="10"/>
      <c r="K10" s="10"/>
    </row>
    <row r="11" spans="2:14">
      <c r="I11" s="10"/>
      <c r="J11" s="10"/>
      <c r="K11" s="10"/>
    </row>
    <row r="12" spans="2:14">
      <c r="I12" s="10"/>
      <c r="J12" s="10"/>
      <c r="K12" s="10"/>
    </row>
    <row r="13" spans="2:14">
      <c r="D13" s="4"/>
      <c r="E13" s="4"/>
      <c r="F13" s="4"/>
      <c r="H13" s="4"/>
      <c r="I13" s="10"/>
      <c r="J13" s="10"/>
      <c r="K13" s="10"/>
    </row>
    <row r="14" spans="2:14">
      <c r="I14" s="10"/>
      <c r="J14" s="10"/>
      <c r="K14" s="10"/>
    </row>
    <row r="15" spans="2:14">
      <c r="I15" s="10"/>
      <c r="J15" s="10"/>
      <c r="K15" s="10"/>
    </row>
    <row r="16" spans="2:14">
      <c r="I16" s="10"/>
      <c r="J16" s="10"/>
      <c r="K16" s="10"/>
    </row>
    <row r="17" spans="8:11">
      <c r="I17" s="10"/>
      <c r="J17" s="10"/>
      <c r="K17" s="10"/>
    </row>
    <row r="18" spans="8:11">
      <c r="H18" s="4"/>
      <c r="I18" s="10"/>
      <c r="J18" s="10"/>
      <c r="K18" s="10"/>
    </row>
    <row r="19" spans="8:11">
      <c r="I19" s="10"/>
      <c r="J19" s="10"/>
      <c r="K19" s="10"/>
    </row>
    <row r="20" spans="8:11">
      <c r="I20" s="10"/>
      <c r="J20" s="10"/>
      <c r="K20" s="10"/>
    </row>
    <row r="21" spans="8:11">
      <c r="I21" s="10"/>
      <c r="J21" s="10"/>
      <c r="K21" s="10"/>
    </row>
    <row r="22" spans="8:11">
      <c r="I22" s="10"/>
      <c r="J22" s="10"/>
      <c r="K22" s="10"/>
    </row>
    <row r="23" spans="8:11">
      <c r="I23" s="10"/>
      <c r="J23" s="10"/>
      <c r="K23" s="10"/>
    </row>
    <row r="24" spans="8:11">
      <c r="I24" s="10"/>
      <c r="J24" s="10"/>
      <c r="K24" s="10"/>
    </row>
    <row r="25" spans="8:11">
      <c r="I25" s="10"/>
      <c r="J25" s="10"/>
      <c r="K25" s="10"/>
    </row>
    <row r="26" spans="8:11">
      <c r="I26" s="10"/>
      <c r="J26" s="10"/>
      <c r="K26" s="10"/>
    </row>
    <row r="27" spans="8:11">
      <c r="I27" s="10"/>
      <c r="J27" s="10"/>
      <c r="K27" s="10"/>
    </row>
    <row r="28" spans="8:11">
      <c r="I28" s="10"/>
      <c r="J28" s="10"/>
      <c r="K28" s="10"/>
    </row>
    <row r="29" spans="8:11">
      <c r="I29" s="10"/>
      <c r="J29" s="10"/>
      <c r="K29" s="10"/>
    </row>
    <row r="30" spans="8:11">
      <c r="I30" s="10"/>
      <c r="J30" s="10"/>
      <c r="K30" s="10"/>
    </row>
    <row r="31" spans="8:11">
      <c r="I31" s="10"/>
      <c r="J31" s="10"/>
      <c r="K31" s="10"/>
    </row>
    <row r="32" spans="8:11">
      <c r="I32" s="10"/>
      <c r="J32" s="10"/>
      <c r="K32" s="10"/>
    </row>
    <row r="33" spans="9:11">
      <c r="I33" s="10"/>
      <c r="J33" s="10"/>
      <c r="K33" s="10"/>
    </row>
    <row r="34" spans="9:11">
      <c r="I34" s="10"/>
      <c r="J34" s="10"/>
      <c r="K34" s="10"/>
    </row>
    <row r="35" spans="9:11">
      <c r="I35" s="10"/>
      <c r="J35" s="10"/>
      <c r="K35" s="10"/>
    </row>
    <row r="36" spans="9:11">
      <c r="I36" s="10"/>
      <c r="J36" s="10"/>
      <c r="K36" s="10"/>
    </row>
    <row r="37" spans="9:11">
      <c r="I37" s="10"/>
      <c r="J37" s="10"/>
      <c r="K37" s="10"/>
    </row>
    <row r="38" spans="9:11">
      <c r="I38" s="10"/>
      <c r="J38" s="10"/>
      <c r="K38" s="10"/>
    </row>
    <row r="39" spans="9:11">
      <c r="I39" s="10"/>
      <c r="J39" s="10"/>
      <c r="K39" s="10"/>
    </row>
    <row r="40" spans="9:11">
      <c r="I40" s="10"/>
      <c r="J40" s="10"/>
      <c r="K40" s="10"/>
    </row>
    <row r="41" spans="9:11">
      <c r="I41" s="10"/>
      <c r="J41" s="10"/>
      <c r="K41" s="10"/>
    </row>
    <row r="42" spans="9:11">
      <c r="I42" s="10"/>
      <c r="J42" s="10"/>
      <c r="K42" s="10"/>
    </row>
    <row r="43" spans="9:11">
      <c r="I43" s="10"/>
      <c r="J43" s="10"/>
      <c r="K43" s="10"/>
    </row>
    <row r="44" spans="9:11">
      <c r="I44" s="10"/>
      <c r="J44" s="10"/>
      <c r="K44" s="10"/>
    </row>
    <row r="45" spans="9:11">
      <c r="I45" s="10"/>
      <c r="J45" s="10"/>
      <c r="K45" s="10"/>
    </row>
    <row r="46" spans="9:11">
      <c r="I46" s="10"/>
      <c r="J46" s="10"/>
      <c r="K46" s="10"/>
    </row>
    <row r="47" spans="9:11">
      <c r="I47" s="10"/>
      <c r="J47" s="10"/>
      <c r="K47" s="10"/>
    </row>
    <row r="48" spans="9:11">
      <c r="I48" s="10"/>
      <c r="J48" s="10"/>
      <c r="K48" s="10"/>
    </row>
    <row r="49" spans="9:11">
      <c r="I49" s="10"/>
      <c r="J49" s="10"/>
      <c r="K49" s="10"/>
    </row>
    <row r="50" spans="9:11">
      <c r="I50" s="10"/>
      <c r="J50" s="10"/>
      <c r="K50" s="10"/>
    </row>
    <row r="51" spans="9:11">
      <c r="I51" s="10"/>
      <c r="J51" s="10"/>
      <c r="K51" s="10"/>
    </row>
    <row r="52" spans="9:11">
      <c r="I52" s="10"/>
      <c r="J52" s="10"/>
      <c r="K52" s="10"/>
    </row>
    <row r="53" spans="9:11">
      <c r="I53" s="10"/>
      <c r="J53" s="10"/>
      <c r="K53" s="10"/>
    </row>
    <row r="54" spans="9:11">
      <c r="I54" s="10"/>
      <c r="J54" s="10"/>
      <c r="K54" s="10"/>
    </row>
    <row r="55" spans="9:11">
      <c r="I55" s="10"/>
      <c r="J55" s="10"/>
      <c r="K55" s="10"/>
    </row>
    <row r="56" spans="9:11">
      <c r="I56" s="10"/>
      <c r="J56" s="10"/>
      <c r="K56" s="10"/>
    </row>
    <row r="57" spans="9:11">
      <c r="I57" s="10"/>
      <c r="J57" s="10"/>
      <c r="K57" s="10"/>
    </row>
    <row r="58" spans="9:11">
      <c r="I58" s="10"/>
      <c r="J58" s="10"/>
      <c r="K58" s="10"/>
    </row>
    <row r="59" spans="9:11">
      <c r="I59" s="10"/>
      <c r="J59" s="10"/>
      <c r="K59" s="10"/>
    </row>
    <row r="60" spans="9:11">
      <c r="I60" s="10"/>
      <c r="J60" s="10"/>
      <c r="K60" s="10"/>
    </row>
    <row r="61" spans="9:11">
      <c r="I61" s="10"/>
      <c r="J61" s="10"/>
      <c r="K61" s="10"/>
    </row>
    <row r="62" spans="9:11">
      <c r="I62" s="10"/>
      <c r="J62" s="10"/>
      <c r="K62" s="10"/>
    </row>
    <row r="63" spans="9:11">
      <c r="I63" s="10"/>
      <c r="J63" s="10"/>
      <c r="K63" s="10"/>
    </row>
    <row r="64" spans="9:11">
      <c r="I64" s="10"/>
      <c r="J64" s="10"/>
      <c r="K64" s="10"/>
    </row>
    <row r="65" spans="9:11">
      <c r="I65" s="10"/>
      <c r="J65" s="10"/>
      <c r="K65" s="10"/>
    </row>
    <row r="66" spans="9:11">
      <c r="I66" s="10"/>
      <c r="J66" s="10"/>
      <c r="K66" s="10"/>
    </row>
    <row r="67" spans="9:11">
      <c r="I67" s="10"/>
      <c r="J67" s="10"/>
      <c r="K67" s="10"/>
    </row>
    <row r="68" spans="9:11">
      <c r="I68" s="10"/>
      <c r="J68" s="10"/>
      <c r="K68" s="10"/>
    </row>
    <row r="69" spans="9:11">
      <c r="I69" s="10"/>
      <c r="J69" s="10"/>
      <c r="K69" s="10"/>
    </row>
    <row r="70" spans="9:11">
      <c r="I70" s="10"/>
      <c r="J70" s="10"/>
      <c r="K70" s="10"/>
    </row>
    <row r="71" spans="9:11">
      <c r="I71" s="10"/>
      <c r="J71" s="10"/>
      <c r="K71" s="10"/>
    </row>
    <row r="72" spans="9:11">
      <c r="I72" s="10"/>
      <c r="J72" s="10"/>
      <c r="K72" s="10"/>
    </row>
    <row r="73" spans="9:11">
      <c r="I73" s="10"/>
      <c r="J73" s="10"/>
      <c r="K73" s="10"/>
    </row>
    <row r="74" spans="9:11">
      <c r="I74" s="10"/>
      <c r="J74" s="10"/>
      <c r="K74" s="10"/>
    </row>
    <row r="75" spans="9:11">
      <c r="I75" s="10"/>
      <c r="J75" s="10"/>
      <c r="K75" s="10"/>
    </row>
    <row r="76" spans="9:11">
      <c r="I76" s="10"/>
      <c r="J76" s="10"/>
      <c r="K76" s="10"/>
    </row>
    <row r="77" spans="9:11">
      <c r="I77" s="10"/>
      <c r="J77" s="10"/>
      <c r="K77" s="10"/>
    </row>
    <row r="78" spans="9:11">
      <c r="I78" s="10"/>
      <c r="J78" s="10"/>
      <c r="K78" s="10"/>
    </row>
    <row r="79" spans="9:11">
      <c r="I79" s="10"/>
      <c r="J79" s="10"/>
      <c r="K79" s="10"/>
    </row>
    <row r="80" spans="9:11">
      <c r="I80" s="10"/>
      <c r="J80" s="10"/>
      <c r="K80" s="10"/>
    </row>
    <row r="81" spans="9:11">
      <c r="I81" s="10"/>
      <c r="J81" s="10"/>
      <c r="K81" s="10"/>
    </row>
    <row r="82" spans="9:11">
      <c r="I82" s="10"/>
      <c r="J82" s="10"/>
      <c r="K82" s="10"/>
    </row>
    <row r="83" spans="9:11">
      <c r="I83" s="10"/>
      <c r="J83" s="10"/>
      <c r="K83" s="10"/>
    </row>
    <row r="84" spans="9:11">
      <c r="I84" s="10"/>
      <c r="J84" s="10"/>
      <c r="K84" s="10"/>
    </row>
    <row r="85" spans="9:11">
      <c r="I85" s="10"/>
      <c r="J85" s="10"/>
      <c r="K85" s="10"/>
    </row>
    <row r="86" spans="9:11">
      <c r="I86" s="10"/>
      <c r="J86" s="10"/>
      <c r="K86" s="10"/>
    </row>
    <row r="87" spans="9:11">
      <c r="I87" s="10"/>
      <c r="J87" s="10"/>
      <c r="K87" s="10"/>
    </row>
    <row r="88" spans="9:11">
      <c r="I88" s="10"/>
      <c r="J88" s="10"/>
      <c r="K88" s="10"/>
    </row>
    <row r="89" spans="9:11">
      <c r="I89" s="10"/>
      <c r="J89" s="10"/>
      <c r="K89" s="10"/>
    </row>
    <row r="90" spans="9:11">
      <c r="I90" s="10"/>
      <c r="J90" s="10"/>
      <c r="K90" s="10"/>
    </row>
    <row r="91" spans="9:11">
      <c r="I91" s="10"/>
      <c r="J91" s="10"/>
      <c r="K91" s="10"/>
    </row>
    <row r="92" spans="9:11" hidden="1"/>
    <row r="93" spans="9:11" hidden="1"/>
    <row r="94" spans="9:11" hidden="1"/>
    <row r="95" spans="9:11" hidden="1"/>
    <row r="96" spans="9:11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</sheetData>
  <mergeCells count="2">
    <mergeCell ref="I5:K5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27"/>
  <sheetViews>
    <sheetView showGridLines="0" tabSelected="1" zoomScaleNormal="100" workbookViewId="0">
      <selection activeCell="I15" sqref="I15"/>
    </sheetView>
  </sheetViews>
  <sheetFormatPr defaultColWidth="0" defaultRowHeight="15" zeroHeight="1"/>
  <cols>
    <col min="1" max="1" width="3.7109375" style="2" customWidth="1"/>
    <col min="2" max="2" width="9.140625" style="13" customWidth="1"/>
    <col min="3" max="3" width="42.28515625" style="13" customWidth="1"/>
    <col min="4" max="11" width="10.7109375" style="13" customWidth="1"/>
    <col min="12" max="12" width="3.7109375" style="2" customWidth="1"/>
    <col min="13" max="14" width="0" style="13" hidden="1" customWidth="1"/>
    <col min="15" max="16384" width="9.140625" style="13" hidden="1"/>
  </cols>
  <sheetData>
    <row r="1" spans="2:14" s="2" customFormat="1" ht="15" customHeight="1"/>
    <row r="2" spans="2:14" ht="17.25">
      <c r="B2" s="58" t="str">
        <f>Company_Name</f>
        <v>Volkswagen Aktiengesellschaft</v>
      </c>
      <c r="C2" s="58"/>
      <c r="D2" s="59"/>
      <c r="E2" s="59"/>
      <c r="F2" s="59"/>
      <c r="G2" s="59"/>
      <c r="H2" s="59"/>
      <c r="I2" s="59"/>
      <c r="J2" s="59"/>
      <c r="K2" s="59"/>
    </row>
    <row r="3" spans="2:14">
      <c r="B3" s="60" t="s">
        <v>236</v>
      </c>
      <c r="C3" s="59"/>
      <c r="D3" s="59"/>
      <c r="E3" s="59"/>
      <c r="F3" s="59"/>
      <c r="G3" s="59"/>
      <c r="H3" s="59"/>
      <c r="I3" s="59"/>
      <c r="J3" s="59"/>
      <c r="K3" s="59"/>
    </row>
    <row r="4" spans="2:14">
      <c r="B4" s="61"/>
      <c r="C4" s="61"/>
      <c r="D4" s="59"/>
      <c r="E4" s="59"/>
      <c r="F4" s="59"/>
      <c r="G4" s="59"/>
      <c r="H4" s="59"/>
      <c r="I4" s="59"/>
      <c r="J4" s="59"/>
      <c r="K4" s="59"/>
    </row>
    <row r="5" spans="2:14">
      <c r="B5" s="59"/>
      <c r="C5" s="59"/>
      <c r="D5" s="196" t="s">
        <v>4</v>
      </c>
      <c r="E5" s="196"/>
      <c r="F5" s="196"/>
      <c r="G5" s="196"/>
      <c r="H5" s="196"/>
      <c r="I5" s="195" t="s">
        <v>17</v>
      </c>
      <c r="J5" s="195"/>
      <c r="K5" s="195"/>
    </row>
    <row r="6" spans="2:14" ht="18" customHeight="1">
      <c r="B6" s="62" t="str">
        <f>Currency</f>
        <v>€ million</v>
      </c>
      <c r="C6" s="62"/>
      <c r="D6" s="63">
        <f>EDATE(E6,-12)</f>
        <v>41639</v>
      </c>
      <c r="E6" s="63">
        <f>EDATE(F6,-12)</f>
        <v>42004</v>
      </c>
      <c r="F6" s="63">
        <f>EDATE(G6,-12)</f>
        <v>42369</v>
      </c>
      <c r="G6" s="63">
        <f>EDATE(H6, -12)</f>
        <v>42735</v>
      </c>
      <c r="H6" s="63">
        <f>Last_Financial_Period</f>
        <v>43100</v>
      </c>
      <c r="I6" s="64">
        <f>EDATE(H6,12)</f>
        <v>43465</v>
      </c>
      <c r="J6" s="64">
        <f>EDATE(I6,12)</f>
        <v>43830</v>
      </c>
      <c r="K6" s="64">
        <f>EDATE(J6,12)</f>
        <v>44196</v>
      </c>
      <c r="L6" s="3"/>
      <c r="M6" s="1"/>
      <c r="N6" s="1"/>
    </row>
    <row r="7" spans="2:14">
      <c r="I7" s="10"/>
      <c r="J7" s="10"/>
      <c r="K7" s="10"/>
    </row>
    <row r="8" spans="2:14">
      <c r="C8" s="96" t="s">
        <v>147</v>
      </c>
      <c r="D8" s="34"/>
      <c r="E8" s="34"/>
      <c r="F8" s="34"/>
      <c r="G8" s="96"/>
      <c r="H8" s="96"/>
      <c r="I8" s="10"/>
      <c r="J8" s="10"/>
      <c r="K8" s="10"/>
    </row>
    <row r="9" spans="2:14">
      <c r="C9" s="79"/>
      <c r="D9" s="34"/>
      <c r="E9" s="78"/>
      <c r="F9" s="77"/>
      <c r="G9" s="78"/>
      <c r="H9" s="77"/>
      <c r="I9" s="10"/>
      <c r="J9" s="10"/>
      <c r="K9" s="10"/>
    </row>
    <row r="10" spans="2:14">
      <c r="C10" s="82" t="s">
        <v>148</v>
      </c>
      <c r="D10" s="83">
        <v>134274</v>
      </c>
      <c r="E10" s="83">
        <v>134627</v>
      </c>
      <c r="F10" s="83">
        <v>139990</v>
      </c>
      <c r="G10" s="83">
        <v>137293</v>
      </c>
      <c r="H10" s="83">
        <v>145958</v>
      </c>
      <c r="I10" s="106">
        <f>H10*(1+I12)</f>
        <v>148880.62898617884</v>
      </c>
      <c r="J10" s="106">
        <f>I10*(1+J12)</f>
        <v>152606.18315918316</v>
      </c>
      <c r="K10" s="106">
        <f>J10*(1+K12)</f>
        <v>159477.08839500337</v>
      </c>
    </row>
    <row r="11" spans="2:14">
      <c r="C11" s="97" t="s">
        <v>157</v>
      </c>
      <c r="D11" s="98">
        <f t="shared" ref="D11:K11" si="0">D10/D$37</f>
        <v>0.68156969041709181</v>
      </c>
      <c r="E11" s="98">
        <f t="shared" si="0"/>
        <v>0.66496260952888997</v>
      </c>
      <c r="F11" s="98">
        <f t="shared" si="0"/>
        <v>0.65633028899349244</v>
      </c>
      <c r="G11" s="98">
        <f t="shared" si="0"/>
        <v>0.6319091256380398</v>
      </c>
      <c r="H11" s="98">
        <f t="shared" si="0"/>
        <v>0.63272383627677931</v>
      </c>
      <c r="I11" s="110">
        <f t="shared" si="0"/>
        <v>0.62388919404686038</v>
      </c>
      <c r="J11" s="110">
        <f t="shared" si="0"/>
        <v>0.61314350320881172</v>
      </c>
      <c r="K11" s="110">
        <f t="shared" si="0"/>
        <v>0.60688412800208058</v>
      </c>
    </row>
    <row r="12" spans="2:14">
      <c r="C12" s="97" t="s">
        <v>14</v>
      </c>
      <c r="D12" s="98"/>
      <c r="E12" s="98">
        <f>E10/D10-1</f>
        <v>2.6289527384304456E-3</v>
      </c>
      <c r="F12" s="98">
        <f>F10/E10-1</f>
        <v>3.9835991294465467E-2</v>
      </c>
      <c r="G12" s="98">
        <f>G10/F10-1</f>
        <v>-1.9265661832988057E-2</v>
      </c>
      <c r="H12" s="98">
        <f>H10/G10-1</f>
        <v>6.3113195865776017E-2</v>
      </c>
      <c r="I12" s="110">
        <f>AVERAGE(G12:H12)-0.19%</f>
        <v>2.0023767016393981E-2</v>
      </c>
      <c r="J12" s="107">
        <f>I12+0.5%</f>
        <v>2.5023767016393982E-2</v>
      </c>
      <c r="K12" s="107">
        <f>J12+2%</f>
        <v>4.5023767016393983E-2</v>
      </c>
    </row>
    <row r="13" spans="2:14">
      <c r="C13" s="82" t="s">
        <v>149</v>
      </c>
      <c r="D13" s="83">
        <v>13564</v>
      </c>
      <c r="E13" s="83">
        <v>13642</v>
      </c>
      <c r="F13" s="83">
        <v>14625</v>
      </c>
      <c r="G13" s="83">
        <v>15220</v>
      </c>
      <c r="H13" s="83">
        <v>15628</v>
      </c>
      <c r="I13" s="106">
        <f>H13*(1+I15)</f>
        <v>15862.419999999998</v>
      </c>
      <c r="J13" s="106">
        <f>I13*(1+J15)</f>
        <v>16179.668399999999</v>
      </c>
      <c r="K13" s="106">
        <f>J13*(1+K15)</f>
        <v>16584.160109999997</v>
      </c>
    </row>
    <row r="14" spans="2:14">
      <c r="C14" s="97" t="s">
        <v>157</v>
      </c>
      <c r="D14" s="98">
        <f t="shared" ref="D14:K14" si="1">D13/D$37</f>
        <v>6.8850345419198308E-2</v>
      </c>
      <c r="E14" s="98">
        <f t="shared" si="1"/>
        <v>6.7381876734927737E-2</v>
      </c>
      <c r="F14" s="98">
        <f t="shared" si="1"/>
        <v>6.8567972544680528E-2</v>
      </c>
      <c r="G14" s="98">
        <f t="shared" si="1"/>
        <v>7.0052055765486704E-2</v>
      </c>
      <c r="H14" s="98">
        <f t="shared" si="1"/>
        <v>6.7746941677287342E-2</v>
      </c>
      <c r="I14" s="110">
        <f t="shared" si="1"/>
        <v>6.6471995025971564E-2</v>
      </c>
      <c r="J14" s="110">
        <f t="shared" si="1"/>
        <v>6.5006924085014961E-2</v>
      </c>
      <c r="K14" s="110">
        <f t="shared" si="1"/>
        <v>6.3110404436751533E-2</v>
      </c>
    </row>
    <row r="15" spans="2:14">
      <c r="C15" s="97" t="s">
        <v>14</v>
      </c>
      <c r="D15" s="98"/>
      <c r="E15" s="98">
        <f>E13/D13-1</f>
        <v>5.7505160719550918E-3</v>
      </c>
      <c r="F15" s="98">
        <f>F13/E13-1</f>
        <v>7.2056883154962614E-2</v>
      </c>
      <c r="G15" s="98">
        <f>G13/F13-1</f>
        <v>4.0683760683760672E-2</v>
      </c>
      <c r="H15" s="98">
        <f>H13/G13-1</f>
        <v>2.6806833114323192E-2</v>
      </c>
      <c r="I15" s="107">
        <v>1.4999999999999999E-2</v>
      </c>
      <c r="J15" s="109">
        <v>0.02</v>
      </c>
      <c r="K15" s="107">
        <v>2.5000000000000001E-2</v>
      </c>
    </row>
    <row r="16" spans="2:14">
      <c r="C16" s="82" t="s">
        <v>150</v>
      </c>
      <c r="D16" s="83">
        <v>9540</v>
      </c>
      <c r="E16" s="83">
        <v>10090</v>
      </c>
      <c r="F16" s="83">
        <v>11106</v>
      </c>
      <c r="G16" s="83">
        <v>13324</v>
      </c>
      <c r="H16" s="83">
        <v>13355</v>
      </c>
      <c r="I16" s="106">
        <f>H16*(1+I18)</f>
        <v>13087.9</v>
      </c>
      <c r="J16" s="106">
        <f>I16*(1+J18)</f>
        <v>13545.976499999999</v>
      </c>
      <c r="K16" s="106">
        <f>J16*(1+K18)</f>
        <v>13952.355794999999</v>
      </c>
    </row>
    <row r="17" spans="3:11">
      <c r="C17" s="97" t="s">
        <v>157</v>
      </c>
      <c r="D17" s="98">
        <f t="shared" ref="D17:K17" si="2">D16/D$37</f>
        <v>4.8424675265345898E-2</v>
      </c>
      <c r="E17" s="98">
        <f t="shared" si="2"/>
        <v>4.9837497159904771E-2</v>
      </c>
      <c r="F17" s="98">
        <f t="shared" si="2"/>
        <v>5.2069463458545094E-2</v>
      </c>
      <c r="G17" s="98">
        <f t="shared" si="2"/>
        <v>6.1325465901402421E-2</v>
      </c>
      <c r="H17" s="98">
        <f t="shared" si="2"/>
        <v>5.7893550428728728E-2</v>
      </c>
      <c r="I17" s="110">
        <f t="shared" si="2"/>
        <v>5.4845277309541245E-2</v>
      </c>
      <c r="J17" s="110">
        <f t="shared" si="2"/>
        <v>5.442523568609705E-2</v>
      </c>
      <c r="K17" s="110">
        <f t="shared" si="2"/>
        <v>5.3095171008205128E-2</v>
      </c>
    </row>
    <row r="18" spans="3:11">
      <c r="C18" s="97" t="s">
        <v>14</v>
      </c>
      <c r="D18" s="98"/>
      <c r="E18" s="98">
        <f>E16/D16-1</f>
        <v>5.7651991614255715E-2</v>
      </c>
      <c r="F18" s="98">
        <f>F16/E16-1</f>
        <v>0.1006937561942518</v>
      </c>
      <c r="G18" s="98">
        <f>G16/F16-1</f>
        <v>0.19971186745903124</v>
      </c>
      <c r="H18" s="98">
        <f>H16/G16-1</f>
        <v>2.3266286400480674E-3</v>
      </c>
      <c r="I18" s="109">
        <v>-0.02</v>
      </c>
      <c r="J18" s="109">
        <v>3.5000000000000003E-2</v>
      </c>
      <c r="K18" s="109">
        <v>0.03</v>
      </c>
    </row>
    <row r="19" spans="3:11">
      <c r="C19" s="82" t="s">
        <v>151</v>
      </c>
      <c r="D19" s="83">
        <v>8441</v>
      </c>
      <c r="E19" s="83">
        <v>10021</v>
      </c>
      <c r="F19" s="83">
        <v>8763</v>
      </c>
      <c r="G19" s="83">
        <v>9770</v>
      </c>
      <c r="H19" s="83">
        <v>11318</v>
      </c>
      <c r="I19" s="106">
        <f>H19*(1+I21)</f>
        <v>12786.845515312276</v>
      </c>
      <c r="J19" s="106">
        <f>I19*(1+J21)</f>
        <v>14500.435087874203</v>
      </c>
      <c r="K19" s="106">
        <f>J19*(1+K21)</f>
        <v>16340.478737683785</v>
      </c>
    </row>
    <row r="20" spans="3:11">
      <c r="C20" s="97" t="s">
        <v>157</v>
      </c>
      <c r="D20" s="98">
        <f t="shared" ref="D20:K20" si="3">D19/D$37</f>
        <v>4.2846193282472196E-2</v>
      </c>
      <c r="E20" s="98">
        <f t="shared" si="3"/>
        <v>4.9496685732349423E-2</v>
      </c>
      <c r="F20" s="98">
        <f t="shared" si="3"/>
        <v>4.1084522626258835E-2</v>
      </c>
      <c r="G20" s="98">
        <f t="shared" si="3"/>
        <v>4.4967712538029246E-2</v>
      </c>
      <c r="H20" s="98">
        <f t="shared" si="3"/>
        <v>4.906321256101473E-2</v>
      </c>
      <c r="I20" s="110">
        <f t="shared" si="3"/>
        <v>5.3583698546104848E-2</v>
      </c>
      <c r="J20" s="110">
        <f t="shared" si="3"/>
        <v>5.8260074289107532E-2</v>
      </c>
      <c r="K20" s="110">
        <f t="shared" si="3"/>
        <v>6.2183084038336806E-2</v>
      </c>
    </row>
    <row r="21" spans="3:11">
      <c r="C21" s="97" t="s">
        <v>14</v>
      </c>
      <c r="D21" s="98"/>
      <c r="E21" s="98">
        <f>E19/D19-1</f>
        <v>0.18718161355289653</v>
      </c>
      <c r="F21" s="98">
        <f>F19/E19-1</f>
        <v>-0.12553637361540759</v>
      </c>
      <c r="G21" s="98">
        <f>G19/F19-1</f>
        <v>0.11491498345315532</v>
      </c>
      <c r="H21" s="98">
        <f>H19/G19-1</f>
        <v>0.15844421699078803</v>
      </c>
      <c r="I21" s="110">
        <f>AVERAGE(G21:H21)-0.69%</f>
        <v>0.12977960022197169</v>
      </c>
      <c r="J21" s="107">
        <f>AVERAGE(H21:I21)-1.01%</f>
        <v>0.13401190860637985</v>
      </c>
      <c r="K21" s="110">
        <f>AVERAGE(I21:J21)-0.5%</f>
        <v>0.12689575441417578</v>
      </c>
    </row>
    <row r="22" spans="3:11">
      <c r="C22" s="82" t="s">
        <v>152</v>
      </c>
      <c r="D22" s="83">
        <v>3845</v>
      </c>
      <c r="E22" s="83">
        <v>3728</v>
      </c>
      <c r="F22" s="83">
        <v>3769</v>
      </c>
      <c r="G22" s="83">
        <v>3590</v>
      </c>
      <c r="H22" s="83">
        <v>3280</v>
      </c>
      <c r="I22" s="106">
        <f>H22*(1+I24)</f>
        <v>3312.8</v>
      </c>
      <c r="J22" s="106">
        <f>I22*(1+J24)</f>
        <v>3347.5844000000002</v>
      </c>
      <c r="K22" s="106">
        <f>J22*(1+K24)</f>
        <v>3384.4078283999997</v>
      </c>
    </row>
    <row r="23" spans="3:11">
      <c r="C23" s="97" t="s">
        <v>157</v>
      </c>
      <c r="D23" s="98">
        <f t="shared" ref="D23:K23" si="4">D22/D$37</f>
        <v>1.9517072997406182E-2</v>
      </c>
      <c r="E23" s="98">
        <f t="shared" si="4"/>
        <v>1.8413695680091675E-2</v>
      </c>
      <c r="F23" s="98">
        <f t="shared" si="4"/>
        <v>1.7670611180916302E-2</v>
      </c>
      <c r="G23" s="98">
        <f t="shared" si="4"/>
        <v>1.6523448107627941E-2</v>
      </c>
      <c r="H23" s="98">
        <f t="shared" si="4"/>
        <v>1.4218708004959208E-2</v>
      </c>
      <c r="I23" s="110">
        <f t="shared" si="4"/>
        <v>1.3882397838541574E-2</v>
      </c>
      <c r="J23" s="110">
        <f t="shared" si="4"/>
        <v>1.3449976821464425E-2</v>
      </c>
      <c r="K23" s="110">
        <f t="shared" si="4"/>
        <v>1.2879238105066268E-2</v>
      </c>
    </row>
    <row r="24" spans="3:11">
      <c r="C24" s="97" t="s">
        <v>14</v>
      </c>
      <c r="D24" s="98"/>
      <c r="E24" s="98">
        <f>E22/D22-1</f>
        <v>-3.042912873862158E-2</v>
      </c>
      <c r="F24" s="98">
        <f>F22/E22-1</f>
        <v>1.0997854077253288E-2</v>
      </c>
      <c r="G24" s="98">
        <f>G22/F22-1</f>
        <v>-4.7492703634916422E-2</v>
      </c>
      <c r="H24" s="98">
        <f>H22/G22-1</f>
        <v>-8.6350974930362145E-2</v>
      </c>
      <c r="I24" s="110">
        <v>0.01</v>
      </c>
      <c r="J24" s="110">
        <f>I24+0.05%</f>
        <v>1.0500000000000001E-2</v>
      </c>
      <c r="K24" s="108">
        <f>J24+0.05%</f>
        <v>1.1000000000000001E-2</v>
      </c>
    </row>
    <row r="25" spans="3:11">
      <c r="C25" s="82" t="s">
        <v>153</v>
      </c>
      <c r="D25" s="84">
        <v>452</v>
      </c>
      <c r="E25" s="84">
        <v>458</v>
      </c>
      <c r="F25" s="84">
        <v>564</v>
      </c>
      <c r="G25" s="84">
        <v>589</v>
      </c>
      <c r="H25" s="84">
        <v>601</v>
      </c>
      <c r="I25" s="106">
        <f>H25*(1+I27)</f>
        <v>620.44227654758038</v>
      </c>
      <c r="J25" s="106">
        <f>I25*(1+J27)</f>
        <v>641.14128322976887</v>
      </c>
      <c r="K25" s="106">
        <f>J25*(1+K27)</f>
        <v>662.2064846332463</v>
      </c>
    </row>
    <row r="26" spans="3:11">
      <c r="C26" s="97" t="s">
        <v>157</v>
      </c>
      <c r="D26" s="98">
        <f t="shared" ref="D26:K26" si="5">D25/D$37</f>
        <v>2.294334719070896E-3</v>
      </c>
      <c r="E26" s="98">
        <f t="shared" si="5"/>
        <v>2.2621975915992454E-3</v>
      </c>
      <c r="F26" s="98">
        <f t="shared" si="5"/>
        <v>2.6442623258256287E-3</v>
      </c>
      <c r="G26" s="98">
        <f t="shared" si="5"/>
        <v>2.7109501212793474E-3</v>
      </c>
      <c r="H26" s="98">
        <f t="shared" si="5"/>
        <v>2.605318143591611E-3</v>
      </c>
      <c r="I26" s="110">
        <f t="shared" si="5"/>
        <v>2.5999838562194948E-3</v>
      </c>
      <c r="J26" s="110">
        <f t="shared" si="5"/>
        <v>2.5759874489570296E-3</v>
      </c>
      <c r="K26" s="110">
        <f t="shared" si="5"/>
        <v>2.5200021459418766E-3</v>
      </c>
    </row>
    <row r="27" spans="3:11">
      <c r="C27" s="97" t="s">
        <v>14</v>
      </c>
      <c r="D27" s="98"/>
      <c r="E27" s="98">
        <f>E25/D25-1</f>
        <v>1.327433628318575E-2</v>
      </c>
      <c r="F27" s="98">
        <f>F25/E25-1</f>
        <v>0.23144104803493448</v>
      </c>
      <c r="G27" s="98">
        <f>G25/F25-1</f>
        <v>4.4326241134751809E-2</v>
      </c>
      <c r="H27" s="98">
        <f>H25/G25-1</f>
        <v>2.0373514431239359E-2</v>
      </c>
      <c r="I27" s="109">
        <f>AVERAGE(G27:H27)</f>
        <v>3.2349877782995584E-2</v>
      </c>
      <c r="J27" s="109">
        <f>AVERAGE(H27:I27)+0.7%</f>
        <v>3.3361696107117471E-2</v>
      </c>
      <c r="K27" s="109">
        <f t="shared" ref="K27" si="6">AVERAGE(I27:J27)</f>
        <v>3.2855786945056531E-2</v>
      </c>
    </row>
    <row r="28" spans="3:11">
      <c r="C28" s="82" t="s">
        <v>154</v>
      </c>
      <c r="D28" s="83">
        <v>13948</v>
      </c>
      <c r="E28" s="83">
        <v>16384</v>
      </c>
      <c r="F28" s="83">
        <v>20085</v>
      </c>
      <c r="G28" s="83">
        <v>22306</v>
      </c>
      <c r="H28" s="83">
        <v>24570</v>
      </c>
      <c r="I28" s="106">
        <f>H28*(1+I30)</f>
        <v>27175.370733983367</v>
      </c>
      <c r="J28" s="106">
        <f>I28*(1+J30)</f>
        <v>30131.182135779585</v>
      </c>
      <c r="K28" s="106">
        <f>J28*(1+K30)</f>
        <v>33367.37233572876</v>
      </c>
    </row>
    <row r="29" spans="3:11">
      <c r="C29" s="97" t="s">
        <v>157</v>
      </c>
      <c r="D29" s="98">
        <f t="shared" ref="D29:K29" si="7">D28/D$37</f>
        <v>7.0799514738054986E-2</v>
      </c>
      <c r="E29" s="98">
        <f t="shared" si="7"/>
        <v>8.0925426508214049E-2</v>
      </c>
      <c r="F29" s="98">
        <f t="shared" si="7"/>
        <v>9.4166682294694604E-2</v>
      </c>
      <c r="G29" s="98">
        <f t="shared" si="7"/>
        <v>0.10266630459296626</v>
      </c>
      <c r="H29" s="98">
        <f t="shared" si="7"/>
        <v>0.10651026087861211</v>
      </c>
      <c r="I29" s="110">
        <f t="shared" si="7"/>
        <v>0.1138792888007174</v>
      </c>
      <c r="J29" s="110">
        <f t="shared" si="7"/>
        <v>0.12106153360302382</v>
      </c>
      <c r="K29" s="110">
        <f t="shared" si="7"/>
        <v>0.12697829429599716</v>
      </c>
    </row>
    <row r="30" spans="3:11">
      <c r="C30" s="97" t="s">
        <v>14</v>
      </c>
      <c r="D30" s="98"/>
      <c r="E30" s="98">
        <f>E28/D28-1</f>
        <v>0.17464869515342696</v>
      </c>
      <c r="F30" s="98">
        <f>F28/E28-1</f>
        <v>0.22589111328125</v>
      </c>
      <c r="G30" s="98">
        <f>G28/F28-1</f>
        <v>0.11058003485187951</v>
      </c>
      <c r="H30" s="98">
        <f>H28/G28-1</f>
        <v>0.10149735497175638</v>
      </c>
      <c r="I30" s="110">
        <f>AVERAGE(G30:H30)</f>
        <v>0.10603869491181794</v>
      </c>
      <c r="J30" s="110">
        <f>AVERAGE(H30:I30)+0.5%</f>
        <v>0.10876802494178717</v>
      </c>
      <c r="K30" s="110">
        <f>AVERAGE(I30:J30)</f>
        <v>0.10740335992680256</v>
      </c>
    </row>
    <row r="31" spans="3:11">
      <c r="C31" s="82" t="s">
        <v>155</v>
      </c>
      <c r="D31" s="83">
        <v>6034</v>
      </c>
      <c r="E31" s="83">
        <v>6375</v>
      </c>
      <c r="F31" s="83">
        <v>6755</v>
      </c>
      <c r="G31" s="83">
        <v>6695</v>
      </c>
      <c r="H31" s="83">
        <v>7119</v>
      </c>
      <c r="I31" s="106">
        <f>H31*(1+I33)</f>
        <v>7546.14</v>
      </c>
      <c r="J31" s="106">
        <f>I31*(1+J33)</f>
        <v>8011.475907244213</v>
      </c>
      <c r="K31" s="106">
        <f>J31*(1+K33)</f>
        <v>8498.8357056195509</v>
      </c>
    </row>
    <row r="32" spans="3:11">
      <c r="C32" s="97" t="s">
        <v>157</v>
      </c>
      <c r="D32" s="98">
        <f t="shared" ref="D32:K32" si="8">D31/D$37</f>
        <v>3.0628353307242891E-2</v>
      </c>
      <c r="E32" s="98">
        <f t="shared" si="8"/>
        <v>3.1488012328482945E-2</v>
      </c>
      <c r="F32" s="98">
        <f t="shared" si="8"/>
        <v>3.1670198600978937E-2</v>
      </c>
      <c r="G32" s="98">
        <f t="shared" si="8"/>
        <v>3.0814619799601411E-2</v>
      </c>
      <c r="H32" s="98">
        <f t="shared" si="8"/>
        <v>3.0860665331495306E-2</v>
      </c>
      <c r="I32" s="110">
        <f t="shared" si="8"/>
        <v>3.1622348957175833E-2</v>
      </c>
      <c r="J32" s="110">
        <f t="shared" si="8"/>
        <v>3.2188632871558168E-2</v>
      </c>
      <c r="K32" s="110">
        <f t="shared" si="8"/>
        <v>3.2342003156357282E-2</v>
      </c>
    </row>
    <row r="33" spans="3:11">
      <c r="C33" s="97" t="s">
        <v>14</v>
      </c>
      <c r="D33" s="98"/>
      <c r="E33" s="98">
        <f>E31/D31-1</f>
        <v>5.6513092475969584E-2</v>
      </c>
      <c r="F33" s="98">
        <f>F31/E31-1</f>
        <v>5.9607843137254868E-2</v>
      </c>
      <c r="G33" s="98">
        <f>G31/F31-1</f>
        <v>-8.8823094004440994E-3</v>
      </c>
      <c r="H33" s="98">
        <f>H31/G31-1</f>
        <v>6.3330843913368184E-2</v>
      </c>
      <c r="I33" s="110">
        <v>0.06</v>
      </c>
      <c r="J33" s="110">
        <f>AVERAGE(H33:I33)</f>
        <v>6.1665421956684091E-2</v>
      </c>
      <c r="K33" s="110">
        <f>AVERAGE(I33:J33)</f>
        <v>6.0832710978342044E-2</v>
      </c>
    </row>
    <row r="34" spans="3:11">
      <c r="C34" s="82" t="s">
        <v>156</v>
      </c>
      <c r="D34" s="83">
        <v>6909</v>
      </c>
      <c r="E34" s="83">
        <v>7133</v>
      </c>
      <c r="F34" s="83">
        <v>7635</v>
      </c>
      <c r="G34" s="83">
        <v>8481</v>
      </c>
      <c r="H34" s="83">
        <v>8853</v>
      </c>
      <c r="I34" s="106">
        <f>H34*(1+I36)</f>
        <v>9360.5790219765495</v>
      </c>
      <c r="J34" s="106">
        <f>I34*(1+J36)</f>
        <v>9927.8155013816449</v>
      </c>
      <c r="K34" s="106">
        <f>J34*(1+K36)</f>
        <v>10513.221878711805</v>
      </c>
    </row>
    <row r="35" spans="3:11">
      <c r="C35" s="97" t="s">
        <v>157</v>
      </c>
      <c r="D35" s="98">
        <f t="shared" ref="D35:K35" si="9">D34/D$37</f>
        <v>3.5069819854116856E-2</v>
      </c>
      <c r="E35" s="98">
        <f t="shared" si="9"/>
        <v>3.5231998735540213E-2</v>
      </c>
      <c r="F35" s="98">
        <f t="shared" si="9"/>
        <v>3.5795997974607578E-2</v>
      </c>
      <c r="G35" s="98">
        <f t="shared" si="9"/>
        <v>3.9034920167351689E-2</v>
      </c>
      <c r="H35" s="98">
        <f t="shared" si="9"/>
        <v>3.837750669753167E-2</v>
      </c>
      <c r="I35" s="110">
        <f t="shared" si="9"/>
        <v>3.9225815618867677E-2</v>
      </c>
      <c r="J35" s="110">
        <f t="shared" si="9"/>
        <v>3.9888131985965261E-2</v>
      </c>
      <c r="K35" s="110">
        <f t="shared" si="9"/>
        <v>4.0007674811263438E-2</v>
      </c>
    </row>
    <row r="36" spans="3:11">
      <c r="C36" s="97" t="s">
        <v>14</v>
      </c>
      <c r="D36" s="98"/>
      <c r="E36" s="98">
        <f>E34/D34-1</f>
        <v>3.2421479229989947E-2</v>
      </c>
      <c r="F36" s="98">
        <f>F34/E34-1</f>
        <v>7.0377120426188045E-2</v>
      </c>
      <c r="G36" s="98">
        <f>G34/F34-1</f>
        <v>0.11080550098231834</v>
      </c>
      <c r="H36" s="98">
        <f>H34/G34-1</f>
        <v>4.3862752033958285E-2</v>
      </c>
      <c r="I36" s="113">
        <f>AVERAGE(G36:H36)-2%</f>
        <v>5.7334126508138308E-2</v>
      </c>
      <c r="J36" s="110">
        <f>AVERAGE(H36:I36)+1%</f>
        <v>6.0598439271048299E-2</v>
      </c>
      <c r="K36" s="110">
        <f>AVERAGE(I36:J36)</f>
        <v>5.8966282889593304E-2</v>
      </c>
    </row>
    <row r="37" spans="3:11">
      <c r="C37" s="80"/>
      <c r="D37" s="81">
        <v>197007</v>
      </c>
      <c r="E37" s="81">
        <v>202458</v>
      </c>
      <c r="F37" s="81">
        <v>213292</v>
      </c>
      <c r="G37" s="81">
        <v>217267</v>
      </c>
      <c r="H37" s="81">
        <v>230682</v>
      </c>
      <c r="I37" s="112">
        <f>I10+I13+I16+I19+I22+I25+I28+I31+I34</f>
        <v>238633.12653399861</v>
      </c>
      <c r="J37" s="112">
        <f>J10+J13+J16+J19+J22+J25+J28+J31+J34</f>
        <v>248891.46237469258</v>
      </c>
      <c r="K37" s="112">
        <f>K10+K13+K16+K19+K22+K25+K28+K31+K34</f>
        <v>262780.1272707805</v>
      </c>
    </row>
    <row r="38" spans="3:11">
      <c r="C38" s="97"/>
      <c r="D38" s="98"/>
      <c r="E38" s="98">
        <f t="shared" ref="E38:K38" si="10">E37/D37-1</f>
        <v>2.7669067596582941E-2</v>
      </c>
      <c r="F38" s="98">
        <f t="shared" si="10"/>
        <v>5.351233342224071E-2</v>
      </c>
      <c r="G38" s="98">
        <f t="shared" si="10"/>
        <v>1.8636423307015759E-2</v>
      </c>
      <c r="H38" s="98">
        <f t="shared" si="10"/>
        <v>6.174430539382425E-2</v>
      </c>
      <c r="I38" s="110">
        <f t="shared" si="10"/>
        <v>3.4467910517502975E-2</v>
      </c>
      <c r="J38" s="110">
        <f t="shared" si="10"/>
        <v>4.2987895225151895E-2</v>
      </c>
      <c r="K38" s="110">
        <f t="shared" si="10"/>
        <v>5.5802094469513452E-2</v>
      </c>
    </row>
    <row r="39" spans="3:11">
      <c r="I39" s="10"/>
      <c r="J39" s="10"/>
      <c r="K39" s="10"/>
    </row>
    <row r="40" spans="3:11">
      <c r="I40" s="10"/>
      <c r="J40" s="10"/>
      <c r="K40" s="10"/>
    </row>
    <row r="41" spans="3:11">
      <c r="C41" s="13" t="s">
        <v>162</v>
      </c>
      <c r="E41" s="13">
        <v>164065</v>
      </c>
      <c r="F41" s="13">
        <v>174703</v>
      </c>
      <c r="G41" s="13">
        <v>177815</v>
      </c>
      <c r="H41" s="13">
        <v>188405</v>
      </c>
      <c r="I41" s="111"/>
      <c r="J41" s="10"/>
      <c r="K41" s="10"/>
    </row>
    <row r="42" spans="3:11">
      <c r="C42" s="13" t="s">
        <v>165</v>
      </c>
      <c r="E42" s="4">
        <v>-20464</v>
      </c>
      <c r="F42" s="4">
        <v>-24987</v>
      </c>
      <c r="G42" s="4">
        <v>-27472</v>
      </c>
      <c r="H42" s="4">
        <v>-29939</v>
      </c>
      <c r="I42" s="10"/>
      <c r="J42" s="10"/>
      <c r="K42" s="10"/>
    </row>
    <row r="43" spans="3:11">
      <c r="C43" s="6" t="s">
        <v>166</v>
      </c>
      <c r="D43" s="6"/>
      <c r="E43" s="105">
        <f>E42+E41</f>
        <v>143601</v>
      </c>
      <c r="F43" s="105">
        <f>F42+F41</f>
        <v>149716</v>
      </c>
      <c r="G43" s="105">
        <f>G42+G41</f>
        <v>150343</v>
      </c>
      <c r="H43" s="105">
        <f>H42+H41</f>
        <v>158466</v>
      </c>
      <c r="I43" s="106">
        <f>H43*(1+I45)</f>
        <v>161635.32</v>
      </c>
      <c r="J43" s="106">
        <f>I43*(1+J45)</f>
        <v>170166.1315805382</v>
      </c>
      <c r="K43" s="106">
        <f>J43*(1+K45)</f>
        <v>179761.64150304024</v>
      </c>
    </row>
    <row r="44" spans="3:11">
      <c r="C44" s="97" t="s">
        <v>157</v>
      </c>
      <c r="D44" s="98"/>
      <c r="E44" s="98">
        <f>E43/E58</f>
        <v>0.7092878522952909</v>
      </c>
      <c r="F44" s="98">
        <f>F43/F58</f>
        <v>0.70192974888884718</v>
      </c>
      <c r="G44" s="98">
        <f>G43/G58</f>
        <v>0.69197347043039215</v>
      </c>
      <c r="H44" s="98">
        <f>H43/H58</f>
        <v>0.68694566546154445</v>
      </c>
      <c r="I44" s="113">
        <f>I43/I$55</f>
        <v>0.67731140150823899</v>
      </c>
      <c r="J44" s="113">
        <f>J43/J$55</f>
        <v>0.67284991062068689</v>
      </c>
      <c r="K44" s="113">
        <f>K43/K$55</f>
        <v>0.66874107417846285</v>
      </c>
    </row>
    <row r="45" spans="3:11">
      <c r="C45" s="97" t="s">
        <v>14</v>
      </c>
      <c r="D45" s="98"/>
      <c r="E45" s="98"/>
      <c r="F45" s="98">
        <f>F41/E41-1</f>
        <v>6.4840154816688589E-2</v>
      </c>
      <c r="G45" s="98">
        <f>G41/F41-1</f>
        <v>1.7813088498766394E-2</v>
      </c>
      <c r="H45" s="98">
        <f>H41/G41-1</f>
        <v>5.9556280403790351E-2</v>
      </c>
      <c r="I45" s="113">
        <v>0.02</v>
      </c>
      <c r="J45" s="113">
        <f>AVERAGE(H45:I45)+1.3%</f>
        <v>5.2778140201895182E-2</v>
      </c>
      <c r="K45" s="113">
        <f>AVERAGE(I45:J45)+2%</f>
        <v>5.6389070100947597E-2</v>
      </c>
    </row>
    <row r="46" spans="3:11">
      <c r="C46" s="6" t="s">
        <v>167</v>
      </c>
      <c r="D46" s="6"/>
      <c r="E46" s="6">
        <v>30205</v>
      </c>
      <c r="F46" s="6">
        <v>30445</v>
      </c>
      <c r="G46" s="6">
        <v>32080</v>
      </c>
      <c r="H46" s="6">
        <v>35200</v>
      </c>
      <c r="I46" s="106">
        <f>H46*(1+I48)</f>
        <v>36889.599999999999</v>
      </c>
      <c r="J46" s="106">
        <f>I46*(1+J48)</f>
        <v>39361.203199999996</v>
      </c>
      <c r="K46" s="106">
        <f>J46*(1+K48)</f>
        <v>42018.084415999991</v>
      </c>
    </row>
    <row r="47" spans="3:11">
      <c r="C47" s="97" t="s">
        <v>157</v>
      </c>
      <c r="D47" s="98"/>
      <c r="E47" s="98">
        <f>E46/E$58</f>
        <v>0.14919143723636508</v>
      </c>
      <c r="F47" s="98">
        <f>F46/F$58</f>
        <v>0.1427385931024136</v>
      </c>
      <c r="G47" s="98">
        <f>G46/G$58</f>
        <v>0.14765242765813491</v>
      </c>
      <c r="H47" s="98">
        <f>H46/H$58</f>
        <v>0.15259101273614759</v>
      </c>
      <c r="I47" s="113">
        <f>I46/I$55</f>
        <v>0.15458098314822732</v>
      </c>
      <c r="J47" s="113">
        <f>J46/J$55</f>
        <v>0.15563721058386962</v>
      </c>
      <c r="K47" s="113">
        <f>K46/K$55</f>
        <v>0.15631376456251336</v>
      </c>
    </row>
    <row r="48" spans="3:11">
      <c r="C48" s="97" t="s">
        <v>14</v>
      </c>
      <c r="D48" s="98"/>
      <c r="E48" s="98"/>
      <c r="F48" s="98">
        <f>F46/E46-1</f>
        <v>7.9457043535837713E-3</v>
      </c>
      <c r="G48" s="98">
        <f>G46/F46-1</f>
        <v>5.3703399573000521E-2</v>
      </c>
      <c r="H48" s="98">
        <f>H46/G46-1</f>
        <v>9.7256857855361645E-2</v>
      </c>
      <c r="I48" s="113">
        <v>4.8000000000000001E-2</v>
      </c>
      <c r="J48" s="113">
        <v>6.7000000000000004E-2</v>
      </c>
      <c r="K48" s="172">
        <f>AVERAGE(I48:J48)+1%</f>
        <v>6.7500000000000004E-2</v>
      </c>
    </row>
    <row r="49" spans="3:11">
      <c r="C49" s="6" t="s">
        <v>168</v>
      </c>
      <c r="D49" s="6"/>
      <c r="E49" s="6">
        <v>3732</v>
      </c>
      <c r="F49" s="6">
        <v>3775</v>
      </c>
      <c r="G49" s="6">
        <v>3593</v>
      </c>
      <c r="H49" s="6">
        <v>3283</v>
      </c>
      <c r="I49" s="106">
        <f>H49*(1+I51)</f>
        <v>3348.66</v>
      </c>
      <c r="J49" s="106">
        <f>I49*(1+J51)</f>
        <v>3418.9818599999994</v>
      </c>
      <c r="K49" s="106">
        <f>J49*(1+K51)</f>
        <v>3538.6462250999989</v>
      </c>
    </row>
    <row r="50" spans="3:11">
      <c r="C50" s="97" t="s">
        <v>157</v>
      </c>
      <c r="D50" s="98"/>
      <c r="E50" s="98">
        <f>E49/E$58</f>
        <v>1.8433452864297779E-2</v>
      </c>
      <c r="F50" s="98">
        <f>F49/F$58</f>
        <v>1.7698741631191044E-2</v>
      </c>
      <c r="G50" s="98">
        <f>G49/G$58</f>
        <v>1.6537256002982507E-2</v>
      </c>
      <c r="H50" s="98">
        <f>H49/H$58</f>
        <v>1.4231712920817402E-2</v>
      </c>
      <c r="I50" s="113">
        <f>I49/I$55</f>
        <v>1.403211623409153E-2</v>
      </c>
      <c r="J50" s="113">
        <f>J49/J$55</f>
        <v>1.3518916000191027E-2</v>
      </c>
      <c r="K50" s="113">
        <f>K49/K$55</f>
        <v>1.3164310572180178E-2</v>
      </c>
    </row>
    <row r="51" spans="3:11">
      <c r="C51" s="97" t="s">
        <v>14</v>
      </c>
      <c r="D51" s="98"/>
      <c r="E51" s="98"/>
      <c r="F51" s="98">
        <f>F49/E49-1</f>
        <v>1.1521972132904512E-2</v>
      </c>
      <c r="G51" s="98">
        <f>G49/F49-1</f>
        <v>-4.8211920529801278E-2</v>
      </c>
      <c r="H51" s="98">
        <f>H49/G49-1</f>
        <v>-8.6278875591427773E-2</v>
      </c>
      <c r="I51" s="113">
        <v>0.02</v>
      </c>
      <c r="J51" s="113">
        <v>2.1000000000000001E-2</v>
      </c>
      <c r="K51" s="113">
        <v>3.5000000000000003E-2</v>
      </c>
    </row>
    <row r="52" spans="3:11">
      <c r="C52" s="6" t="s">
        <v>169</v>
      </c>
      <c r="D52" s="6"/>
      <c r="E52" s="6">
        <v>24920</v>
      </c>
      <c r="F52" s="6">
        <v>29357</v>
      </c>
      <c r="G52" s="6">
        <v>31251</v>
      </c>
      <c r="H52" s="6">
        <v>33733</v>
      </c>
      <c r="I52" s="106">
        <f>H52*(1+I54)</f>
        <v>36768.97</v>
      </c>
      <c r="J52" s="106">
        <f>I52*(1+J54)</f>
        <v>39957.234202716398</v>
      </c>
      <c r="K52" s="106">
        <f>J52*(1+K54)</f>
        <v>43487.670200237058</v>
      </c>
    </row>
    <row r="53" spans="3:11">
      <c r="C53" s="97" t="s">
        <v>157</v>
      </c>
      <c r="D53" s="98"/>
      <c r="E53" s="98">
        <f>E52/E$58</f>
        <v>0.12308725760404628</v>
      </c>
      <c r="F53" s="98">
        <f>F52/F$58</f>
        <v>0.13763760478592726</v>
      </c>
      <c r="G53" s="98">
        <f>G52/G$58</f>
        <v>0.14383684590849047</v>
      </c>
      <c r="H53" s="98">
        <f>H52/H$58</f>
        <v>0.14623160888149053</v>
      </c>
      <c r="I53" s="113">
        <f>I52/I$55</f>
        <v>0.15407549910944213</v>
      </c>
      <c r="J53" s="113">
        <f>J52/J$55</f>
        <v>0.15799396279525244</v>
      </c>
      <c r="K53" s="113">
        <f>K52/K$55</f>
        <v>0.16178085068684359</v>
      </c>
    </row>
    <row r="54" spans="3:11">
      <c r="C54" s="97" t="s">
        <v>14</v>
      </c>
      <c r="D54" s="98"/>
      <c r="E54" s="98"/>
      <c r="F54" s="98">
        <f>F52/E52-1</f>
        <v>0.17804975922953448</v>
      </c>
      <c r="G54" s="98">
        <f>G52/F52-1</f>
        <v>6.4516129032258007E-2</v>
      </c>
      <c r="H54" s="98">
        <f>H52/G52-1</f>
        <v>7.9421458513327492E-2</v>
      </c>
      <c r="I54" s="113">
        <v>0.09</v>
      </c>
      <c r="J54" s="113">
        <f>AVERAGE(H54:I54)+0.2%</f>
        <v>8.6710729256663746E-2</v>
      </c>
      <c r="K54" s="113">
        <f>AVERAGE(I54:J54)</f>
        <v>8.8355364628331878E-2</v>
      </c>
    </row>
    <row r="55" spans="3:11">
      <c r="C55" s="6" t="s">
        <v>163</v>
      </c>
      <c r="D55" s="6"/>
      <c r="E55" s="105">
        <f t="shared" ref="E55:K55" si="11">E43+E46+E49+E52</f>
        <v>202458</v>
      </c>
      <c r="F55" s="105">
        <f t="shared" si="11"/>
        <v>213293</v>
      </c>
      <c r="G55" s="105">
        <f t="shared" si="11"/>
        <v>217267</v>
      </c>
      <c r="H55" s="105">
        <f t="shared" si="11"/>
        <v>230682</v>
      </c>
      <c r="I55" s="112">
        <f t="shared" si="11"/>
        <v>238642.55000000002</v>
      </c>
      <c r="J55" s="112">
        <f t="shared" si="11"/>
        <v>252903.5508432546</v>
      </c>
      <c r="K55" s="112">
        <f t="shared" si="11"/>
        <v>268806.04234437732</v>
      </c>
    </row>
    <row r="56" spans="3:11">
      <c r="C56" s="97" t="s">
        <v>14</v>
      </c>
      <c r="F56" s="98">
        <f t="shared" ref="F56:K56" si="12">F55/E55-1</f>
        <v>5.3517272718292208E-2</v>
      </c>
      <c r="G56" s="98">
        <f t="shared" si="12"/>
        <v>1.8631647545864105E-2</v>
      </c>
      <c r="H56" s="98">
        <f t="shared" si="12"/>
        <v>6.174430539382425E-2</v>
      </c>
      <c r="I56" s="113">
        <f t="shared" si="12"/>
        <v>3.4508760978316566E-2</v>
      </c>
      <c r="J56" s="113">
        <f t="shared" si="12"/>
        <v>5.9758835309355218E-2</v>
      </c>
      <c r="K56" s="113">
        <f t="shared" si="12"/>
        <v>6.28796687436739E-2</v>
      </c>
    </row>
    <row r="57" spans="3:11">
      <c r="I57" s="10"/>
      <c r="J57" s="10"/>
      <c r="K57" s="10"/>
    </row>
    <row r="58" spans="3:11">
      <c r="C58" s="6" t="s">
        <v>164</v>
      </c>
      <c r="D58" s="6"/>
      <c r="E58" s="6">
        <v>202458</v>
      </c>
      <c r="F58" s="6">
        <v>213292</v>
      </c>
      <c r="G58" s="6">
        <v>217267</v>
      </c>
      <c r="H58" s="6">
        <v>230682</v>
      </c>
      <c r="I58" s="112">
        <f t="shared" ref="I58:K58" si="13">I43+I46+I49+I52</f>
        <v>238642.55000000002</v>
      </c>
      <c r="J58" s="112">
        <f t="shared" si="13"/>
        <v>252903.5508432546</v>
      </c>
      <c r="K58" s="112">
        <f t="shared" si="13"/>
        <v>268806.04234437732</v>
      </c>
    </row>
    <row r="59" spans="3:11">
      <c r="I59" s="10"/>
      <c r="J59" s="10"/>
      <c r="K59" s="10"/>
    </row>
    <row r="60" spans="3:11">
      <c r="I60" s="10"/>
      <c r="J60" s="10"/>
      <c r="K60" s="10"/>
    </row>
    <row r="61" spans="3:11" s="2" customFormat="1" ht="15" customHeight="1"/>
    <row r="62" spans="3:11" hidden="1"/>
    <row r="63" spans="3:11" hidden="1"/>
    <row r="64" spans="3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</sheetData>
  <mergeCells count="2">
    <mergeCell ref="D5:H5"/>
    <mergeCell ref="I5:K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398"/>
  <sheetViews>
    <sheetView showGridLines="0" workbookViewId="0">
      <selection activeCell="E23" sqref="E23"/>
    </sheetView>
  </sheetViews>
  <sheetFormatPr defaultColWidth="0" defaultRowHeight="15" customHeight="1" zeroHeight="1"/>
  <cols>
    <col min="1" max="1" width="3.7109375" style="2" customWidth="1"/>
    <col min="2" max="2" width="9.140625" style="13" customWidth="1"/>
    <col min="3" max="3" width="42.28515625" style="13" customWidth="1"/>
    <col min="4" max="11" width="10.7109375" style="13" customWidth="1"/>
    <col min="12" max="12" width="3.7109375" style="2" customWidth="1"/>
    <col min="13" max="14" width="0" style="13" hidden="1" customWidth="1"/>
    <col min="15" max="16384" width="9.140625" style="13" hidden="1"/>
  </cols>
  <sheetData>
    <row r="1" spans="2:14" s="2" customFormat="1" ht="15" customHeight="1"/>
    <row r="2" spans="2:14" ht="17.25">
      <c r="B2" s="58" t="str">
        <f>Company_Name</f>
        <v>Volkswagen Aktiengesellschaft</v>
      </c>
      <c r="C2" s="58"/>
      <c r="D2" s="59"/>
      <c r="E2" s="59"/>
      <c r="F2" s="59"/>
      <c r="G2" s="59"/>
      <c r="H2" s="59"/>
      <c r="I2" s="59"/>
      <c r="J2" s="59"/>
      <c r="K2" s="59"/>
    </row>
    <row r="3" spans="2:14">
      <c r="B3" s="60" t="s">
        <v>237</v>
      </c>
      <c r="C3" s="59"/>
      <c r="D3" s="59"/>
      <c r="E3" s="59"/>
      <c r="F3" s="59"/>
      <c r="G3" s="59"/>
      <c r="H3" s="59"/>
      <c r="I3" s="59"/>
      <c r="J3" s="59"/>
      <c r="K3" s="59"/>
    </row>
    <row r="4" spans="2:14">
      <c r="B4" s="61"/>
      <c r="C4" s="61"/>
      <c r="D4" s="59"/>
      <c r="E4" s="59"/>
      <c r="F4" s="59"/>
      <c r="G4" s="59"/>
      <c r="H4" s="59"/>
      <c r="I4" s="59"/>
      <c r="J4" s="59"/>
      <c r="K4" s="59"/>
    </row>
    <row r="5" spans="2:14">
      <c r="B5" s="59"/>
      <c r="C5" s="59"/>
      <c r="D5" s="196" t="s">
        <v>4</v>
      </c>
      <c r="E5" s="196"/>
      <c r="F5" s="196"/>
      <c r="G5" s="196"/>
      <c r="H5" s="196"/>
      <c r="I5" s="195" t="s">
        <v>17</v>
      </c>
      <c r="J5" s="195"/>
      <c r="K5" s="195"/>
    </row>
    <row r="6" spans="2:14" ht="18" customHeight="1">
      <c r="B6" s="62" t="str">
        <f>Currency</f>
        <v>€ million</v>
      </c>
      <c r="C6" s="62"/>
      <c r="D6" s="63">
        <f>EDATE(E6,-12)</f>
        <v>41639</v>
      </c>
      <c r="E6" s="63">
        <f>EDATE(F6,-12)</f>
        <v>42004</v>
      </c>
      <c r="F6" s="63">
        <f>EDATE(G6,-12)</f>
        <v>42369</v>
      </c>
      <c r="G6" s="63">
        <f>EDATE(H6, -12)</f>
        <v>42735</v>
      </c>
      <c r="H6" s="63">
        <f>Last_Financial_Period</f>
        <v>43100</v>
      </c>
      <c r="I6" s="64">
        <f>EDATE(H6,12)</f>
        <v>43465</v>
      </c>
      <c r="J6" s="64">
        <f>EDATE(I6,12)</f>
        <v>43830</v>
      </c>
      <c r="K6" s="64">
        <f>EDATE(J6,12)</f>
        <v>44196</v>
      </c>
      <c r="L6" s="3"/>
      <c r="M6" s="1"/>
      <c r="N6" s="1"/>
    </row>
    <row r="7" spans="2:14">
      <c r="I7" s="10"/>
      <c r="J7" s="10"/>
      <c r="K7" s="10"/>
    </row>
    <row r="8" spans="2:14">
      <c r="B8" s="14" t="s">
        <v>66</v>
      </c>
      <c r="I8" s="10"/>
      <c r="J8" s="10"/>
      <c r="K8" s="10"/>
    </row>
    <row r="9" spans="2:14">
      <c r="I9" s="10"/>
      <c r="J9" s="10"/>
      <c r="K9" s="10"/>
    </row>
    <row r="10" spans="2:14">
      <c r="C10" s="13" t="s">
        <v>158</v>
      </c>
      <c r="D10" s="21">
        <f>-'Income Statement'!D9/'Income Statement'!D8</f>
        <v>0.81929576106432767</v>
      </c>
      <c r="E10" s="21">
        <f>-'Income Statement'!E9/'Income Statement'!E8</f>
        <v>0.81959715101403752</v>
      </c>
      <c r="F10" s="21">
        <f>-'Income Statement'!F9/'Income Statement'!F8</f>
        <v>0.84101607186392369</v>
      </c>
      <c r="G10" s="21">
        <f>-'Income Statement'!G9/'Income Statement'!G8</f>
        <v>0.81130590471631681</v>
      </c>
      <c r="H10" s="21">
        <f>-'Income Statement'!H9/'Income Statement'!H8</f>
        <v>0.81558162318689797</v>
      </c>
      <c r="I10" s="99">
        <f>AVERAGE(G10:H10)+0.7%</f>
        <v>0.82044376395160745</v>
      </c>
      <c r="J10" s="99">
        <f>AVERAGE(H10:I10)</f>
        <v>0.81801269356925266</v>
      </c>
      <c r="K10" s="99">
        <f>AVERAGE(I10:J10)</f>
        <v>0.81922822876043</v>
      </c>
    </row>
    <row r="11" spans="2:14">
      <c r="C11" s="13" t="s">
        <v>159</v>
      </c>
      <c r="D11" s="21">
        <f>-'Income Statement'!D11/'Income Statement'!D8</f>
        <v>9.9768028547208981E-2</v>
      </c>
      <c r="E11" s="21">
        <f>-'Income Statement'!E11/'Income Statement'!E8</f>
        <v>0.10022819547758054</v>
      </c>
      <c r="F11" s="21">
        <f>-'Income Statement'!F11/'Income Statement'!F8</f>
        <v>0.11024792303508806</v>
      </c>
      <c r="G11" s="21">
        <f>-'Income Statement'!G11/'Income Statement'!G8</f>
        <v>0.10447974151619896</v>
      </c>
      <c r="H11" s="21">
        <f>-'Income Statement'!H11/'Income Statement'!H8</f>
        <v>9.844721304653159E-2</v>
      </c>
      <c r="I11" s="99">
        <f>H11-1.5%</f>
        <v>8.344721304653159E-2</v>
      </c>
      <c r="J11" s="99">
        <f>I11-1%</f>
        <v>7.3447213046531595E-2</v>
      </c>
      <c r="K11" s="99">
        <f>J11-1%</f>
        <v>6.34472130465316E-2</v>
      </c>
    </row>
    <row r="12" spans="2:14">
      <c r="C12" s="13" t="s">
        <v>160</v>
      </c>
      <c r="D12" s="21">
        <f>-'Income Statement'!D12/'Income Statement'!D8</f>
        <v>3.4963224656991886E-2</v>
      </c>
      <c r="E12" s="21">
        <f>-'Income Statement'!E12/'Income Statement'!E8</f>
        <v>3.3789724288494402E-2</v>
      </c>
      <c r="F12" s="21">
        <f>-'Income Statement'!F12/'Income Statement'!F8</f>
        <v>3.3742475104551507E-2</v>
      </c>
      <c r="G12" s="21">
        <f>-'Income Statement'!G12/'Income Statement'!G8</f>
        <v>3.3764906773693197E-2</v>
      </c>
      <c r="H12" s="21">
        <f>-'Income Statement'!H12/'Income Statement'!H8</f>
        <v>3.578085849784552E-2</v>
      </c>
      <c r="I12" s="99">
        <f t="shared" ref="I12:K15" si="0">AVERAGE(G12:H12)</f>
        <v>3.4772882635769359E-2</v>
      </c>
      <c r="J12" s="99">
        <f t="shared" si="0"/>
        <v>3.5276870566807436E-2</v>
      </c>
      <c r="K12" s="99">
        <f t="shared" si="0"/>
        <v>3.5024876601288397E-2</v>
      </c>
    </row>
    <row r="13" spans="2:14">
      <c r="C13" s="13" t="s">
        <v>235</v>
      </c>
      <c r="D13" s="21">
        <f>'Income Statement'!D13/'Income Statement'!D8</f>
        <v>5.0536275360773986E-2</v>
      </c>
      <c r="E13" s="21">
        <f>'Income Statement'!E13/'Income Statement'!E8</f>
        <v>5.0864870738622329E-2</v>
      </c>
      <c r="F13" s="21">
        <f>'Income Statement'!F13/'Income Statement'!F8</f>
        <v>6.0503910132588191E-2</v>
      </c>
      <c r="G13" s="21">
        <f>'Income Statement'!G13/'Income Statement'!G8</f>
        <v>6.0059742160567413E-2</v>
      </c>
      <c r="H13" s="21">
        <f>'Income Statement'!H13/'Income Statement'!H8</f>
        <v>6.285709331460626E-2</v>
      </c>
      <c r="I13" s="99">
        <f t="shared" ref="I13:K13" si="1">AVERAGE(G13:H13)-0.4%</f>
        <v>5.7458417737586837E-2</v>
      </c>
      <c r="J13" s="99">
        <f t="shared" si="1"/>
        <v>5.6157755526096545E-2</v>
      </c>
      <c r="K13" s="99">
        <f t="shared" si="1"/>
        <v>5.2808086631841694E-2</v>
      </c>
    </row>
    <row r="14" spans="2:14">
      <c r="C14" s="13" t="s">
        <v>161</v>
      </c>
      <c r="D14" s="21">
        <f>-'Income Statement'!D14/'Income Statement'!D8</f>
        <v>3.7272787261366347E-2</v>
      </c>
      <c r="E14" s="21">
        <f>-'Income Statement'!E14/'Income Statement'!E8</f>
        <v>3.4535557992274944E-2</v>
      </c>
      <c r="F14" s="21">
        <f>-'Income Statement'!F14/'Income Statement'!F8</f>
        <v>9.4569885415299218E-2</v>
      </c>
      <c r="G14" s="21">
        <f>-'Income Statement'!G14/'Income Statement'!G8</f>
        <v>7.781669558653638E-2</v>
      </c>
      <c r="H14" s="21">
        <f>-'Income Statement'!H14/'Income Statement'!H8</f>
        <v>5.3142421168535042E-2</v>
      </c>
      <c r="I14" s="99">
        <f t="shared" si="0"/>
        <v>6.5479558377535718E-2</v>
      </c>
      <c r="J14" s="99">
        <f t="shared" si="0"/>
        <v>5.931098977303538E-2</v>
      </c>
      <c r="K14" s="99">
        <f t="shared" si="0"/>
        <v>6.2395274075285549E-2</v>
      </c>
    </row>
    <row r="15" spans="2:14">
      <c r="C15" s="13" t="s">
        <v>170</v>
      </c>
      <c r="D15" s="21">
        <f>-'Income Statement'!D22/'Income Statement'!D21</f>
        <v>0.2641615706469263</v>
      </c>
      <c r="E15" s="21">
        <f>-'Income Statement'!E22/'Income Statement'!E21</f>
        <v>0.2518588617006895</v>
      </c>
      <c r="F15" s="21">
        <f>-'Income Statement'!F22/'Income Statement'!F21</f>
        <v>-4.5349730976172176E-2</v>
      </c>
      <c r="G15" s="21">
        <f>-'Income Statement'!G22/'Income Statement'!G21</f>
        <v>0.26220515633571034</v>
      </c>
      <c r="H15" s="21">
        <f>-'Income Statement'!H22/'Income Statement'!H21</f>
        <v>0.16351613598792497</v>
      </c>
      <c r="I15" s="99">
        <f t="shared" si="0"/>
        <v>0.21286064616181766</v>
      </c>
      <c r="J15" s="99">
        <f t="shared" si="0"/>
        <v>0.18818839107487131</v>
      </c>
      <c r="K15" s="99">
        <f t="shared" si="0"/>
        <v>0.20052451861834447</v>
      </c>
    </row>
    <row r="16" spans="2:14">
      <c r="D16" s="21"/>
      <c r="E16" s="21"/>
      <c r="F16" s="21"/>
      <c r="G16" s="21"/>
      <c r="H16" s="21"/>
      <c r="I16" s="99"/>
      <c r="J16" s="99"/>
      <c r="K16" s="99"/>
    </row>
    <row r="17" spans="2:11">
      <c r="D17" s="21"/>
      <c r="E17" s="21"/>
      <c r="F17" s="21"/>
      <c r="G17" s="21"/>
      <c r="H17" s="21"/>
      <c r="I17" s="99"/>
      <c r="J17" s="99"/>
      <c r="K17" s="99"/>
    </row>
    <row r="18" spans="2:11">
      <c r="B18" s="14" t="s">
        <v>11</v>
      </c>
      <c r="D18" s="21"/>
      <c r="E18" s="21"/>
      <c r="F18" s="21"/>
      <c r="G18" s="21"/>
      <c r="H18" s="21"/>
      <c r="I18" s="99"/>
      <c r="J18" s="99"/>
      <c r="K18" s="99"/>
    </row>
    <row r="19" spans="2:11">
      <c r="C19" s="13" t="s">
        <v>175</v>
      </c>
      <c r="D19" s="21"/>
      <c r="E19" s="21"/>
      <c r="F19" s="21"/>
      <c r="G19" s="21"/>
      <c r="H19" s="21"/>
      <c r="I19" s="99"/>
      <c r="J19" s="99"/>
      <c r="K19" s="99"/>
    </row>
    <row r="20" spans="2:11">
      <c r="C20" s="19" t="s">
        <v>171</v>
      </c>
      <c r="D20" s="21">
        <f>'Balance Sheet'!D10/'Income Statement'!D8</f>
        <v>0.3007152030130909</v>
      </c>
      <c r="E20" s="21">
        <f>'Balance Sheet'!E10/'Income Statement'!E8</f>
        <v>0.29603670884825495</v>
      </c>
      <c r="F20" s="21">
        <f>'Balance Sheet'!F10/'Income Statement'!F8</f>
        <v>0.28668210715826192</v>
      </c>
      <c r="G20" s="21">
        <f>'Balance Sheet'!G10/'Income Statement'!G8</f>
        <v>0.28812014710011186</v>
      </c>
      <c r="H20" s="21">
        <f>'Balance Sheet'!H10/'Income Statement'!H8</f>
        <v>0.27491958627027685</v>
      </c>
      <c r="I20" s="99">
        <f>H20-1.25%</f>
        <v>0.26241958627027684</v>
      </c>
      <c r="J20" s="99">
        <f>I20-1.25%</f>
        <v>0.24991958627027683</v>
      </c>
      <c r="K20" s="99">
        <f>J20-1.25%</f>
        <v>0.23741958627027682</v>
      </c>
    </row>
    <row r="21" spans="2:11">
      <c r="C21" s="19" t="s">
        <v>172</v>
      </c>
      <c r="D21" s="21">
        <f>'Balance Sheet'!D12/'Income Statement'!D8</f>
        <v>0.11298583299070591</v>
      </c>
      <c r="E21" s="21">
        <f>'Balance Sheet'!E12/'Income Statement'!E8</f>
        <v>0.13625048158136502</v>
      </c>
      <c r="F21" s="21">
        <f>'Balance Sheet'!F12/'Income Statement'!F8</f>
        <v>0.15552857116066238</v>
      </c>
      <c r="G21" s="21">
        <f>'Balance Sheet'!G12/'Income Statement'!G8</f>
        <v>0.17692056317802521</v>
      </c>
      <c r="H21" s="21">
        <f>'Balance Sheet'!H12/'Income Statement'!H8</f>
        <v>0.17016498903252095</v>
      </c>
      <c r="I21" s="99">
        <f>H21+0.8%</f>
        <v>0.17816498903252095</v>
      </c>
      <c r="J21" s="99">
        <f>I21+0.8%</f>
        <v>0.18616498903252096</v>
      </c>
      <c r="K21" s="99">
        <f>J21+0.8%</f>
        <v>0.19416498903252097</v>
      </c>
    </row>
    <row r="22" spans="2:11">
      <c r="C22" s="19" t="s">
        <v>174</v>
      </c>
      <c r="D22" s="21">
        <f>'Balance Sheet'!D16/'Income Statement'!D8</f>
        <v>0.2598790905906897</v>
      </c>
      <c r="E22" s="21">
        <f>'Balance Sheet'!E16/'Income Statement'!E8</f>
        <v>0.28587163757421291</v>
      </c>
      <c r="F22" s="21">
        <f>'Balance Sheet'!F16/'Income Statement'!F8</f>
        <v>0.2962370834349155</v>
      </c>
      <c r="G22" s="21">
        <f>'Balance Sheet'!G16/'Income Statement'!G8</f>
        <v>0.31482921934762298</v>
      </c>
      <c r="H22" s="21">
        <f>'Balance Sheet'!H16/'Income Statement'!H8</f>
        <v>0.31753236056562711</v>
      </c>
      <c r="I22" s="99">
        <f>AVERAGE(G22:H22)+1.1%</f>
        <v>0.32718078995662503</v>
      </c>
      <c r="J22" s="99">
        <f>AVERAGE(H22:I22)</f>
        <v>0.32235657526112604</v>
      </c>
      <c r="K22" s="99">
        <f>AVERAGE(I22:J22)</f>
        <v>0.32476868260887554</v>
      </c>
    </row>
    <row r="23" spans="2:11">
      <c r="C23" s="19" t="s">
        <v>173</v>
      </c>
      <c r="D23" s="21">
        <f>'Balance Sheet'!D18/'Income Statement'!D8</f>
        <v>7.3906003339982845E-3</v>
      </c>
      <c r="E23" s="21">
        <f>'Balance Sheet'!E18/'Income Statement'!E8</f>
        <v>8.1695956692252221E-3</v>
      </c>
      <c r="F23" s="21">
        <f>'Balance Sheet'!F18/'Income Statement'!F8</f>
        <v>6.28246722802543E-3</v>
      </c>
      <c r="G23" s="21">
        <f>'Balance Sheet'!G18/'Income Statement'!G8</f>
        <v>9.2466872557728508E-3</v>
      </c>
      <c r="H23" s="21">
        <f>'Balance Sheet'!H18/'Income Statement'!H8</f>
        <v>9.7623568375512608E-3</v>
      </c>
      <c r="I23" s="99">
        <f>AVERAGE(G23:H23)+0.05%</f>
        <v>1.0004522046662056E-2</v>
      </c>
      <c r="J23" s="99">
        <f>AVERAGE(H23:I23)+0.05%</f>
        <v>1.0383439442106658E-2</v>
      </c>
      <c r="K23" s="99">
        <f>AVERAGE(I23:J23)+0.05%</f>
        <v>1.0693980744384358E-2</v>
      </c>
    </row>
    <row r="24" spans="2:11">
      <c r="D24" s="21"/>
      <c r="E24" s="21"/>
      <c r="F24" s="21"/>
      <c r="G24" s="21"/>
      <c r="H24" s="21"/>
      <c r="I24" s="99"/>
      <c r="J24" s="99"/>
      <c r="K24" s="99"/>
    </row>
    <row r="25" spans="2:11">
      <c r="C25" s="6" t="s">
        <v>80</v>
      </c>
      <c r="D25" s="21"/>
      <c r="E25" s="21"/>
      <c r="F25" s="21"/>
      <c r="G25" s="21"/>
      <c r="H25" s="21"/>
      <c r="I25" s="99"/>
      <c r="J25" s="99"/>
      <c r="K25" s="99"/>
    </row>
    <row r="26" spans="2:11">
      <c r="C26" s="19" t="s">
        <v>176</v>
      </c>
      <c r="D26" s="21">
        <f>-'Balance Sheet'!D23/'Income Statement'!D9</f>
        <v>0.17752018190041324</v>
      </c>
      <c r="E26" s="21">
        <f>-'Balance Sheet'!E23/'Income Statement'!E9</f>
        <v>0.18962961177335566</v>
      </c>
      <c r="F26" s="21">
        <f>-'Balance Sheet'!F23/'Income Statement'!F9</f>
        <v>0.19538192237794205</v>
      </c>
      <c r="G26" s="21">
        <f>-'Balance Sheet'!G23/'Income Statement'!G9</f>
        <v>0.2211266806603506</v>
      </c>
      <c r="H26" s="21">
        <f>-'Balance Sheet'!H23/'Income Statement'!H9</f>
        <v>0.21481343680238121</v>
      </c>
      <c r="I26" s="99">
        <f>AVERAGE(G26:H26)+1.5%</f>
        <v>0.23297005873136589</v>
      </c>
      <c r="J26" s="99">
        <f t="shared" ref="J26:K26" si="2">AVERAGE(H26:I26)+2%</f>
        <v>0.24389174776687353</v>
      </c>
      <c r="K26" s="99">
        <f t="shared" si="2"/>
        <v>0.25843090324911971</v>
      </c>
    </row>
    <row r="27" spans="2:11">
      <c r="C27" s="19" t="s">
        <v>177</v>
      </c>
      <c r="D27" s="21">
        <f>'Balance Sheet'!D24/'Income Statement'!D8</f>
        <v>5.651068236154045E-2</v>
      </c>
      <c r="E27" s="21">
        <f>'Balance Sheet'!E24/'Income Statement'!E8</f>
        <v>5.666360430311472E-2</v>
      </c>
      <c r="F27" s="21">
        <f>'Balance Sheet'!F24/'Income Statement'!F8</f>
        <v>5.2191362076402306E-2</v>
      </c>
      <c r="G27" s="21">
        <f>'Balance Sheet'!G24/'Income Statement'!G8</f>
        <v>5.6092273562022767E-2</v>
      </c>
      <c r="H27" s="21">
        <f>'Balance Sheet'!H24/'Income Statement'!H8</f>
        <v>5.7902220372634192E-2</v>
      </c>
      <c r="I27" s="99">
        <f>AVERAGE(G27:H27)+1%</f>
        <v>6.6997246967328478E-2</v>
      </c>
      <c r="J27" s="99">
        <f t="shared" ref="J27:K27" si="3">AVERAGE(H27:I27)+0.5%</f>
        <v>6.7449733669981332E-2</v>
      </c>
      <c r="K27" s="99">
        <f t="shared" si="3"/>
        <v>7.2223490318654909E-2</v>
      </c>
    </row>
    <row r="28" spans="2:11">
      <c r="C28" s="19" t="s">
        <v>174</v>
      </c>
      <c r="D28" s="21">
        <f>'Balance Sheet'!D25/'Income Statement'!D8</f>
        <v>0.19484586842091906</v>
      </c>
      <c r="E28" s="21">
        <f>'Balance Sheet'!E25/'Income Statement'!E8</f>
        <v>0.21929486609568405</v>
      </c>
      <c r="F28" s="21">
        <f>'Balance Sheet'!F25/'Income Statement'!F8</f>
        <v>0.21983009208034057</v>
      </c>
      <c r="G28" s="21">
        <f>'Balance Sheet'!G25/'Income Statement'!G8</f>
        <v>0.22862652864908153</v>
      </c>
      <c r="H28" s="21">
        <f>'Balance Sheet'!H25/'Income Statement'!H8</f>
        <v>0.23038208442791375</v>
      </c>
      <c r="I28" s="99">
        <f>AVERAGE(G28:H28)-0.8%</f>
        <v>0.22150430653849762</v>
      </c>
      <c r="J28" s="99">
        <f t="shared" ref="J28:K28" si="4">AVERAGE(H28:I28)+0.5%</f>
        <v>0.23094319548320569</v>
      </c>
      <c r="K28" s="99">
        <f t="shared" si="4"/>
        <v>0.23122375101085166</v>
      </c>
    </row>
    <row r="29" spans="2:11">
      <c r="C29" s="19" t="s">
        <v>178</v>
      </c>
      <c r="D29" s="21">
        <f>'Balance Sheet'!D26/'Income Statement'!D8</f>
        <v>3.3455664011938661E-2</v>
      </c>
      <c r="E29" s="21">
        <f>'Balance Sheet'!E26/'Income Statement'!E8</f>
        <v>3.7998004524395182E-2</v>
      </c>
      <c r="F29" s="21">
        <f>'Balance Sheet'!F26/'Income Statement'!F8</f>
        <v>4.7085685351536857E-2</v>
      </c>
      <c r="G29" s="21">
        <f>'Balance Sheet'!G26/'Income Statement'!G8</f>
        <v>5.4513570859817645E-2</v>
      </c>
      <c r="H29" s="21">
        <f>'Balance Sheet'!H26/'Income Statement'!H8</f>
        <v>5.2010993488872129E-2</v>
      </c>
      <c r="I29" s="99">
        <f t="shared" ref="I29:K29" si="5">AVERAGE(G29:H29)+0.2%</f>
        <v>5.5262282174344889E-2</v>
      </c>
      <c r="J29" s="99">
        <f t="shared" si="5"/>
        <v>5.5636637831608507E-2</v>
      </c>
      <c r="K29" s="99">
        <f t="shared" si="5"/>
        <v>5.7449460002976696E-2</v>
      </c>
    </row>
    <row r="30" spans="2:11">
      <c r="C30" s="19" t="s">
        <v>173</v>
      </c>
      <c r="D30" s="21">
        <f>'Balance Sheet'!D27/'Income Statement'!D8</f>
        <v>2.5532087692315502E-2</v>
      </c>
      <c r="E30" s="21">
        <f>'Balance Sheet'!E27/'Income Statement'!E8</f>
        <v>2.509162394175582E-2</v>
      </c>
      <c r="F30" s="21">
        <f>'Balance Sheet'!F27/'Income Statement'!F8</f>
        <v>2.5162687770755584E-2</v>
      </c>
      <c r="G30" s="21">
        <f>'Balance Sheet'!G27/'Income Statement'!G8</f>
        <v>2.3611501056303996E-2</v>
      </c>
      <c r="H30" s="21">
        <f>'Balance Sheet'!H27/'Income Statement'!H8</f>
        <v>2.3174760059302416E-2</v>
      </c>
      <c r="I30" s="99">
        <f>AVERAGE(G30:H30)</f>
        <v>2.3393130557803204E-2</v>
      </c>
      <c r="J30" s="99">
        <f>AVERAGE(H30:I30)</f>
        <v>2.3283945308552809E-2</v>
      </c>
      <c r="K30" s="99">
        <f>AVERAGE(I30:J30)</f>
        <v>2.3338537933178007E-2</v>
      </c>
    </row>
    <row r="31" spans="2:11">
      <c r="C31" s="19" t="s">
        <v>225</v>
      </c>
      <c r="D31" s="21">
        <f>'Balance Sheet'!D28/'Income Statement'!D8</f>
        <v>3.7003761287669979E-3</v>
      </c>
      <c r="E31" s="21">
        <f>'Balance Sheet'!E28/'Income Statement'!E8</f>
        <v>4.9886890120420038E-3</v>
      </c>
      <c r="F31" s="21">
        <f>'Balance Sheet'!F28/'Income Statement'!F8</f>
        <v>4.8243722221180353E-3</v>
      </c>
      <c r="G31" s="21">
        <f>'Balance Sheet'!G28/'Income Statement'!G8</f>
        <v>5.1825633897462572E-3</v>
      </c>
      <c r="H31" s="21">
        <f>'Balance Sheet'!H28/'Income Statement'!H8</f>
        <v>5.8045274447074326E-3</v>
      </c>
      <c r="I31" s="99"/>
      <c r="J31" s="99"/>
      <c r="K31" s="99"/>
    </row>
    <row r="32" spans="2:11">
      <c r="C32" s="19" t="s">
        <v>82</v>
      </c>
      <c r="D32" s="21"/>
      <c r="E32" s="21"/>
      <c r="F32" s="21"/>
      <c r="G32" s="21"/>
      <c r="H32" s="21"/>
      <c r="I32" s="99"/>
      <c r="J32" s="99"/>
      <c r="K32" s="99"/>
    </row>
    <row r="33" spans="2:11">
      <c r="C33" s="19" t="s">
        <v>83</v>
      </c>
      <c r="D33" s="21"/>
      <c r="E33" s="21"/>
      <c r="F33" s="21"/>
      <c r="G33" s="21"/>
      <c r="H33" s="21"/>
      <c r="I33" s="99"/>
      <c r="J33" s="99"/>
      <c r="K33" s="99"/>
    </row>
    <row r="34" spans="2:11">
      <c r="C34" s="19" t="s">
        <v>12</v>
      </c>
      <c r="D34" s="21"/>
      <c r="E34" s="21"/>
      <c r="F34" s="21"/>
      <c r="G34" s="21"/>
      <c r="H34" s="21"/>
      <c r="I34" s="99"/>
      <c r="J34" s="99"/>
      <c r="K34" s="99"/>
    </row>
    <row r="35" spans="2:11">
      <c r="D35" s="21"/>
      <c r="E35" s="21"/>
      <c r="F35" s="21"/>
      <c r="G35" s="21"/>
      <c r="H35" s="21"/>
      <c r="I35" s="99"/>
      <c r="J35" s="99"/>
      <c r="K35" s="99"/>
    </row>
    <row r="36" spans="2:11">
      <c r="C36" s="6" t="s">
        <v>92</v>
      </c>
      <c r="D36" s="21"/>
      <c r="E36" s="21"/>
      <c r="F36" s="21"/>
      <c r="G36" s="21"/>
      <c r="H36" s="21"/>
      <c r="I36" s="99"/>
      <c r="J36" s="99"/>
      <c r="K36" s="99"/>
    </row>
    <row r="37" spans="2:11">
      <c r="C37" s="19" t="s">
        <v>179</v>
      </c>
      <c r="D37" s="21">
        <f>-'Balance Sheet'!D49/'Income Statement'!D9</f>
        <v>2.8047110720105076E-2</v>
      </c>
      <c r="E37" s="21">
        <f>-'Balance Sheet'!E49/'Income Statement'!E9</f>
        <v>2.5540275049115914E-2</v>
      </c>
      <c r="F37" s="21">
        <f>-'Balance Sheet'!F49/'Income Statement'!F9</f>
        <v>2.7343880656922098E-2</v>
      </c>
      <c r="G37" s="21">
        <f>-'Balance Sheet'!G49/'Income Statement'!G9</f>
        <v>3.2132523968911329E-2</v>
      </c>
      <c r="H37" s="21">
        <f>-'Balance Sheet'!H49/'Income Statement'!H9</f>
        <v>3.2948867864356329E-2</v>
      </c>
      <c r="I37" s="99">
        <f t="shared" ref="I37:K37" si="6">AVERAGE(G37:H37)</f>
        <v>3.2540695916633833E-2</v>
      </c>
      <c r="J37" s="99">
        <f t="shared" si="6"/>
        <v>3.2744781890495081E-2</v>
      </c>
      <c r="K37" s="99">
        <f t="shared" si="6"/>
        <v>3.2642738903564457E-2</v>
      </c>
    </row>
    <row r="38" spans="2:11">
      <c r="C38" s="68"/>
      <c r="D38" s="21"/>
      <c r="E38" s="21"/>
      <c r="F38" s="21"/>
      <c r="G38" s="21"/>
      <c r="H38" s="21"/>
      <c r="I38" s="99"/>
      <c r="J38" s="99"/>
      <c r="K38" s="99"/>
    </row>
    <row r="39" spans="2:11">
      <c r="C39" s="6" t="s">
        <v>99</v>
      </c>
      <c r="D39" s="21"/>
      <c r="E39" s="21"/>
      <c r="F39" s="21"/>
      <c r="G39" s="21"/>
      <c r="H39" s="21"/>
      <c r="I39" s="99"/>
      <c r="J39" s="99"/>
      <c r="K39" s="99"/>
    </row>
    <row r="40" spans="2:11">
      <c r="C40" s="19" t="s">
        <v>180</v>
      </c>
      <c r="D40" s="21">
        <f>-'Balance Sheet'!D58/'Income Statement'!D9</f>
        <v>0.11166801935479874</v>
      </c>
      <c r="E40" s="21">
        <f>-'Balance Sheet'!E58/'Income Statement'!E9</f>
        <v>0.11769739776055541</v>
      </c>
      <c r="F40" s="21">
        <f>-'Balance Sheet'!F58/'Income Statement'!F9</f>
        <v>0.11405826671572399</v>
      </c>
      <c r="G40" s="21">
        <f>-'Balance Sheet'!G58/'Income Statement'!G9</f>
        <v>0.12931298576048109</v>
      </c>
      <c r="H40" s="21">
        <f>-'Balance Sheet'!H58/'Income Statement'!H9</f>
        <v>0.12249388753056235</v>
      </c>
      <c r="I40" s="99">
        <f>AVERAGE(G40:H40)-0.5%</f>
        <v>0.12090343664552172</v>
      </c>
      <c r="J40" s="99">
        <f t="shared" ref="J40:K40" si="7">AVERAGE(H40:I40)</f>
        <v>0.12169866208804203</v>
      </c>
      <c r="K40" s="99">
        <f t="shared" si="7"/>
        <v>0.12130104936678188</v>
      </c>
    </row>
    <row r="41" spans="2:11">
      <c r="C41" s="19" t="s">
        <v>179</v>
      </c>
      <c r="D41" s="21">
        <f>-'Balance Sheet'!D61/'Income Statement'!D9</f>
        <v>6.8175481856425066E-2</v>
      </c>
      <c r="E41" s="21">
        <f>-'Balance Sheet'!E61/'Income Statement'!E9</f>
        <v>8.5232682873913723E-2</v>
      </c>
      <c r="F41" s="21">
        <f>-'Balance Sheet'!F61/'Income Statement'!F9</f>
        <v>7.8123780535393747E-2</v>
      </c>
      <c r="G41" s="21">
        <f>-'Balance Sheet'!G61/'Income Statement'!G9</f>
        <v>8.7712032677143018E-2</v>
      </c>
      <c r="H41" s="21">
        <f>-'Balance Sheet'!H61/'Income Statement'!H9</f>
        <v>8.4835760603805682E-2</v>
      </c>
      <c r="I41" s="99">
        <f>AVERAGE(G41:H41)+1%</f>
        <v>9.6273896640474352E-2</v>
      </c>
      <c r="J41" s="99">
        <f t="shared" ref="J41:K41" si="8">AVERAGE(H41:I41)-0.4%</f>
        <v>8.6554828622140006E-2</v>
      </c>
      <c r="K41" s="99">
        <f t="shared" si="8"/>
        <v>8.7414362631307169E-2</v>
      </c>
    </row>
    <row r="42" spans="2:11">
      <c r="D42" s="21"/>
      <c r="E42" s="21"/>
      <c r="F42" s="21"/>
      <c r="G42" s="21"/>
      <c r="H42" s="21"/>
      <c r="I42" s="10"/>
      <c r="J42" s="10"/>
      <c r="K42" s="10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idden="1">
      <c r="D44" s="21"/>
      <c r="E44" s="21"/>
      <c r="F44" s="21"/>
      <c r="G44" s="21"/>
      <c r="H44" s="21"/>
      <c r="I44" s="10"/>
      <c r="J44" s="10"/>
      <c r="K44" s="10"/>
    </row>
    <row r="45" spans="2:11" hidden="1">
      <c r="D45" s="21"/>
      <c r="E45" s="21"/>
      <c r="F45" s="21"/>
      <c r="G45" s="21"/>
      <c r="H45" s="21"/>
      <c r="I45" s="10"/>
      <c r="J45" s="10"/>
      <c r="K45" s="10"/>
    </row>
    <row r="46" spans="2:11" hidden="1">
      <c r="D46" s="21"/>
      <c r="E46" s="21"/>
      <c r="F46" s="21"/>
      <c r="G46" s="21"/>
      <c r="H46" s="21"/>
      <c r="I46" s="10"/>
      <c r="J46" s="10"/>
      <c r="K46" s="10"/>
    </row>
    <row r="47" spans="2:11" hidden="1">
      <c r="D47" s="21"/>
      <c r="E47" s="21"/>
      <c r="F47" s="21"/>
      <c r="G47" s="21"/>
      <c r="H47" s="21"/>
      <c r="I47" s="10"/>
      <c r="J47" s="10"/>
      <c r="K47" s="10"/>
    </row>
    <row r="48" spans="2:11" hidden="1">
      <c r="D48" s="21"/>
      <c r="E48" s="21"/>
      <c r="F48" s="21"/>
      <c r="G48" s="21"/>
      <c r="H48" s="21"/>
      <c r="I48" s="10"/>
      <c r="J48" s="10"/>
      <c r="K48" s="10"/>
    </row>
    <row r="49" spans="4:11" hidden="1">
      <c r="D49" s="21"/>
      <c r="E49" s="21"/>
      <c r="F49" s="21"/>
      <c r="G49" s="21"/>
      <c r="H49" s="21"/>
      <c r="I49" s="10"/>
      <c r="J49" s="10"/>
      <c r="K49" s="10"/>
    </row>
    <row r="50" spans="4:11" hidden="1">
      <c r="D50" s="21"/>
      <c r="E50" s="21"/>
      <c r="F50" s="21"/>
      <c r="G50" s="21"/>
      <c r="H50" s="21"/>
      <c r="I50" s="10"/>
      <c r="J50" s="10"/>
      <c r="K50" s="10"/>
    </row>
    <row r="51" spans="4:11" hidden="1">
      <c r="D51" s="21"/>
      <c r="E51" s="21"/>
      <c r="F51" s="21"/>
      <c r="G51" s="21"/>
      <c r="H51" s="21"/>
      <c r="I51" s="10"/>
      <c r="J51" s="10"/>
      <c r="K51" s="10"/>
    </row>
    <row r="52" spans="4:11" hidden="1">
      <c r="D52" s="21"/>
      <c r="E52" s="21"/>
      <c r="F52" s="21"/>
      <c r="G52" s="21"/>
      <c r="H52" s="21"/>
      <c r="I52" s="10"/>
      <c r="J52" s="10"/>
      <c r="K52" s="10"/>
    </row>
    <row r="53" spans="4:11" hidden="1">
      <c r="D53" s="21"/>
      <c r="E53" s="21"/>
      <c r="F53" s="21"/>
      <c r="G53" s="21"/>
      <c r="H53" s="21"/>
      <c r="I53" s="10"/>
      <c r="J53" s="10"/>
      <c r="K53" s="10"/>
    </row>
    <row r="54" spans="4:11" hidden="1">
      <c r="D54" s="21"/>
      <c r="E54" s="21"/>
      <c r="F54" s="21"/>
      <c r="G54" s="21"/>
      <c r="H54" s="21"/>
      <c r="I54" s="10"/>
      <c r="J54" s="10"/>
      <c r="K54" s="10"/>
    </row>
    <row r="55" spans="4:11" hidden="1">
      <c r="D55" s="21"/>
      <c r="E55" s="21"/>
      <c r="F55" s="21"/>
      <c r="G55" s="21"/>
      <c r="H55" s="21"/>
      <c r="I55" s="10"/>
      <c r="J55" s="10"/>
      <c r="K55" s="10"/>
    </row>
    <row r="56" spans="4:11" hidden="1">
      <c r="D56" s="21"/>
      <c r="E56" s="21"/>
      <c r="F56" s="21"/>
      <c r="G56" s="21"/>
      <c r="H56" s="21"/>
      <c r="I56" s="10"/>
      <c r="J56" s="10"/>
      <c r="K56" s="10"/>
    </row>
    <row r="57" spans="4:11" hidden="1">
      <c r="D57" s="21"/>
      <c r="E57" s="21"/>
      <c r="F57" s="21"/>
      <c r="G57" s="21"/>
      <c r="H57" s="21"/>
      <c r="I57" s="10"/>
      <c r="J57" s="10"/>
      <c r="K57" s="10"/>
    </row>
    <row r="58" spans="4:11" hidden="1">
      <c r="D58" s="21"/>
      <c r="E58" s="21"/>
      <c r="F58" s="21"/>
      <c r="G58" s="21"/>
      <c r="H58" s="21"/>
      <c r="I58" s="10"/>
      <c r="J58" s="10"/>
      <c r="K58" s="10"/>
    </row>
    <row r="59" spans="4:11" hidden="1">
      <c r="D59" s="21"/>
      <c r="E59" s="21"/>
      <c r="F59" s="21"/>
      <c r="G59" s="21"/>
      <c r="H59" s="21"/>
      <c r="I59" s="10"/>
      <c r="J59" s="10"/>
      <c r="K59" s="10"/>
    </row>
    <row r="60" spans="4:11" hidden="1">
      <c r="D60" s="21"/>
      <c r="E60" s="21"/>
      <c r="F60" s="21"/>
      <c r="G60" s="21"/>
      <c r="H60" s="21"/>
      <c r="I60" s="10"/>
      <c r="J60" s="10"/>
      <c r="K60" s="10"/>
    </row>
    <row r="61" spans="4:11" hidden="1">
      <c r="D61" s="21"/>
      <c r="E61" s="21"/>
      <c r="F61" s="21"/>
      <c r="G61" s="21"/>
      <c r="H61" s="21"/>
      <c r="I61" s="10"/>
      <c r="J61" s="10"/>
      <c r="K61" s="10"/>
    </row>
    <row r="62" spans="4:11" hidden="1">
      <c r="D62" s="21"/>
      <c r="E62" s="21"/>
      <c r="F62" s="21"/>
      <c r="G62" s="21"/>
      <c r="H62" s="21"/>
      <c r="I62" s="10"/>
      <c r="J62" s="10"/>
      <c r="K62" s="10"/>
    </row>
    <row r="63" spans="4:11" hidden="1">
      <c r="D63" s="21"/>
      <c r="E63" s="21"/>
      <c r="F63" s="21"/>
      <c r="G63" s="21"/>
      <c r="H63" s="21"/>
      <c r="I63" s="10"/>
      <c r="J63" s="10"/>
      <c r="K63" s="10"/>
    </row>
    <row r="64" spans="4:11" hidden="1">
      <c r="D64" s="21"/>
      <c r="E64" s="21"/>
      <c r="F64" s="21"/>
      <c r="G64" s="21"/>
      <c r="H64" s="21"/>
      <c r="I64" s="10"/>
      <c r="J64" s="10"/>
      <c r="K64" s="10"/>
    </row>
    <row r="65" spans="4:11" hidden="1">
      <c r="D65" s="21"/>
      <c r="E65" s="21"/>
      <c r="F65" s="21"/>
      <c r="G65" s="21"/>
      <c r="H65" s="21"/>
      <c r="I65" s="10"/>
      <c r="J65" s="10"/>
      <c r="K65" s="10"/>
    </row>
    <row r="66" spans="4:11" hidden="1">
      <c r="D66" s="21"/>
      <c r="E66" s="21"/>
      <c r="F66" s="21"/>
      <c r="G66" s="21"/>
      <c r="H66" s="21"/>
      <c r="I66" s="10"/>
      <c r="J66" s="10"/>
      <c r="K66" s="10"/>
    </row>
    <row r="67" spans="4:11" hidden="1">
      <c r="D67" s="21"/>
      <c r="E67" s="21"/>
      <c r="F67" s="21"/>
      <c r="G67" s="21"/>
      <c r="H67" s="21"/>
      <c r="I67" s="10"/>
      <c r="J67" s="10"/>
      <c r="K67" s="10"/>
    </row>
    <row r="68" spans="4:11" hidden="1">
      <c r="D68" s="21"/>
      <c r="E68" s="21"/>
      <c r="F68" s="21"/>
      <c r="G68" s="21"/>
      <c r="H68" s="21"/>
      <c r="I68" s="10"/>
      <c r="J68" s="10"/>
      <c r="K68" s="10"/>
    </row>
    <row r="69" spans="4:11" hidden="1">
      <c r="D69" s="21"/>
      <c r="E69" s="21"/>
      <c r="F69" s="21"/>
      <c r="G69" s="21"/>
      <c r="H69" s="21"/>
      <c r="I69" s="10"/>
      <c r="J69" s="10"/>
      <c r="K69" s="10"/>
    </row>
    <row r="70" spans="4:11" hidden="1">
      <c r="D70" s="21"/>
      <c r="E70" s="21"/>
      <c r="F70" s="21"/>
      <c r="G70" s="21"/>
      <c r="H70" s="21"/>
      <c r="I70" s="10"/>
      <c r="J70" s="10"/>
      <c r="K70" s="10"/>
    </row>
    <row r="71" spans="4:11" hidden="1">
      <c r="D71" s="21"/>
      <c r="E71" s="21"/>
      <c r="F71" s="21"/>
      <c r="G71" s="21"/>
      <c r="H71" s="21"/>
      <c r="I71" s="10"/>
      <c r="J71" s="10"/>
      <c r="K71" s="10"/>
    </row>
    <row r="72" spans="4:11" hidden="1">
      <c r="D72" s="21"/>
      <c r="E72" s="21"/>
      <c r="F72" s="21"/>
      <c r="G72" s="21"/>
      <c r="H72" s="21"/>
      <c r="I72" s="10"/>
      <c r="J72" s="10"/>
      <c r="K72" s="10"/>
    </row>
    <row r="73" spans="4:11" hidden="1">
      <c r="I73" s="10"/>
      <c r="J73" s="10"/>
      <c r="K73" s="10"/>
    </row>
    <row r="74" spans="4:11" hidden="1">
      <c r="I74" s="10"/>
      <c r="J74" s="10"/>
      <c r="K74" s="10"/>
    </row>
    <row r="75" spans="4:11" hidden="1">
      <c r="I75" s="10"/>
      <c r="J75" s="10"/>
      <c r="K75" s="10"/>
    </row>
    <row r="76" spans="4:11" hidden="1">
      <c r="I76" s="10"/>
      <c r="J76" s="10"/>
      <c r="K76" s="10"/>
    </row>
    <row r="77" spans="4:11" hidden="1">
      <c r="I77" s="10"/>
      <c r="J77" s="10"/>
      <c r="K77" s="10"/>
    </row>
    <row r="78" spans="4:11" hidden="1">
      <c r="I78" s="10"/>
      <c r="J78" s="10"/>
      <c r="K78" s="10"/>
    </row>
    <row r="79" spans="4:11" hidden="1">
      <c r="I79" s="10"/>
      <c r="J79" s="10"/>
      <c r="K79" s="10"/>
    </row>
    <row r="80" spans="4:11" hidden="1">
      <c r="I80" s="10"/>
      <c r="J80" s="10"/>
      <c r="K80" s="10"/>
    </row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</sheetData>
  <mergeCells count="2">
    <mergeCell ref="D5:H5"/>
    <mergeCell ref="I5:K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105"/>
  <sheetViews>
    <sheetView showGridLines="0" zoomScaleNormal="100" workbookViewId="0">
      <selection activeCell="E42" sqref="E42"/>
    </sheetView>
  </sheetViews>
  <sheetFormatPr defaultColWidth="0" defaultRowHeight="15" zeroHeight="1"/>
  <cols>
    <col min="1" max="1" width="3.7109375" style="2" customWidth="1"/>
    <col min="2" max="2" width="9.140625" style="13" customWidth="1"/>
    <col min="3" max="3" width="42.28515625" style="13" customWidth="1"/>
    <col min="4" max="8" width="9.140625" style="13" customWidth="1"/>
    <col min="9" max="9" width="13.7109375" style="13" bestFit="1" customWidth="1"/>
    <col min="10" max="11" width="9.140625" style="13" customWidth="1"/>
    <col min="12" max="12" width="3.7109375" style="2" customWidth="1"/>
    <col min="13" max="14" width="0" style="13" hidden="1" customWidth="1"/>
    <col min="15" max="16384" width="9.140625" style="13" hidden="1"/>
  </cols>
  <sheetData>
    <row r="1" spans="2:14" s="2" customFormat="1" ht="15" customHeight="1"/>
    <row r="2" spans="2:14" ht="17.25">
      <c r="B2" s="58" t="str">
        <f>Company_Name</f>
        <v>Volkswagen Aktiengesellschaft</v>
      </c>
      <c r="C2" s="58"/>
      <c r="D2" s="59"/>
      <c r="E2" s="59"/>
      <c r="F2" s="59"/>
      <c r="G2" s="59"/>
      <c r="H2" s="59"/>
      <c r="I2" s="59"/>
      <c r="J2" s="59"/>
      <c r="K2" s="59"/>
    </row>
    <row r="3" spans="2:14">
      <c r="B3" s="60" t="s">
        <v>66</v>
      </c>
      <c r="C3" s="59"/>
      <c r="D3" s="59"/>
      <c r="E3" s="59"/>
      <c r="F3" s="59"/>
      <c r="G3" s="59"/>
      <c r="H3" s="59"/>
      <c r="I3" s="59"/>
      <c r="J3" s="59"/>
      <c r="K3" s="59"/>
    </row>
    <row r="4" spans="2:14">
      <c r="B4" s="61"/>
      <c r="C4" s="61"/>
      <c r="D4" s="59"/>
      <c r="E4" s="59"/>
      <c r="F4" s="59"/>
      <c r="G4" s="59"/>
      <c r="H4" s="59"/>
      <c r="I4" s="59"/>
      <c r="J4" s="59"/>
      <c r="K4" s="59"/>
    </row>
    <row r="5" spans="2:14">
      <c r="B5" s="59"/>
      <c r="C5" s="59"/>
      <c r="D5" s="196" t="s">
        <v>4</v>
      </c>
      <c r="E5" s="196"/>
      <c r="F5" s="196"/>
      <c r="G5" s="196"/>
      <c r="H5" s="196"/>
      <c r="I5" s="195" t="s">
        <v>17</v>
      </c>
      <c r="J5" s="195"/>
      <c r="K5" s="195"/>
    </row>
    <row r="6" spans="2:14" ht="18" customHeight="1">
      <c r="B6" s="62" t="str">
        <f>Currency</f>
        <v>€ million</v>
      </c>
      <c r="C6" s="62"/>
      <c r="D6" s="63">
        <f>EDATE(E6,-12)</f>
        <v>41639</v>
      </c>
      <c r="E6" s="63">
        <f>EDATE(F6,-12)</f>
        <v>42004</v>
      </c>
      <c r="F6" s="63">
        <f>EDATE(G6,-12)</f>
        <v>42369</v>
      </c>
      <c r="G6" s="63">
        <f>EDATE(H6, -12)</f>
        <v>42735</v>
      </c>
      <c r="H6" s="63">
        <f>Last_Financial_Period</f>
        <v>43100</v>
      </c>
      <c r="I6" s="64">
        <f>EDATE(H6,12)</f>
        <v>43465</v>
      </c>
      <c r="J6" s="64">
        <f>EDATE(I6,12)</f>
        <v>43830</v>
      </c>
      <c r="K6" s="64">
        <f>EDATE(J6,12)</f>
        <v>44196</v>
      </c>
      <c r="L6" s="3"/>
      <c r="M6" s="1"/>
      <c r="N6" s="1"/>
    </row>
    <row r="7" spans="2:14">
      <c r="I7" s="10"/>
      <c r="J7" s="10"/>
      <c r="K7" s="10"/>
    </row>
    <row r="8" spans="2:14">
      <c r="C8" s="8" t="s">
        <v>38</v>
      </c>
      <c r="D8" s="65">
        <v>197007</v>
      </c>
      <c r="E8" s="65">
        <v>202458</v>
      </c>
      <c r="F8" s="65">
        <v>213292</v>
      </c>
      <c r="G8" s="65">
        <v>217267</v>
      </c>
      <c r="H8" s="65">
        <v>230682</v>
      </c>
      <c r="I8" s="100">
        <f>'Revenue Drivers'!I55</f>
        <v>238642.55000000002</v>
      </c>
      <c r="J8" s="100">
        <f>'Revenue Drivers'!J55</f>
        <v>252903.5508432546</v>
      </c>
      <c r="K8" s="100">
        <f>'Revenue Drivers'!K55</f>
        <v>268806.04234437732</v>
      </c>
    </row>
    <row r="9" spans="2:14">
      <c r="C9" s="8" t="s">
        <v>39</v>
      </c>
      <c r="D9" s="65">
        <v>-161407</v>
      </c>
      <c r="E9" s="65">
        <v>-165934</v>
      </c>
      <c r="F9" s="65">
        <v>-179382</v>
      </c>
      <c r="G9" s="65">
        <v>-176270</v>
      </c>
      <c r="H9" s="65">
        <v>-188140</v>
      </c>
      <c r="I9" s="106">
        <f>-I8*Assumptions!I10</f>
        <v>-195792.7919610097</v>
      </c>
      <c r="J9" s="106">
        <f>-J8*Assumptions!J10</f>
        <v>-206878.31483851915</v>
      </c>
      <c r="K9" s="106">
        <f>-K8*Assumptions!K10</f>
        <v>-220213.49794988538</v>
      </c>
    </row>
    <row r="10" spans="2:14">
      <c r="C10" s="68" t="s">
        <v>40</v>
      </c>
      <c r="D10" s="69">
        <v>35600</v>
      </c>
      <c r="E10" s="69">
        <v>36524</v>
      </c>
      <c r="F10" s="69">
        <v>33911</v>
      </c>
      <c r="G10" s="69">
        <v>40997</v>
      </c>
      <c r="H10" s="69">
        <v>42542</v>
      </c>
      <c r="I10" s="101">
        <f>I8+I9</f>
        <v>42849.758038990316</v>
      </c>
      <c r="J10" s="101">
        <f>J8+J9</f>
        <v>46025.23600473546</v>
      </c>
      <c r="K10" s="101">
        <f>K8+K9</f>
        <v>48592.544394491939</v>
      </c>
    </row>
    <row r="11" spans="2:14">
      <c r="C11" s="8" t="s">
        <v>41</v>
      </c>
      <c r="D11" s="65">
        <v>-19655</v>
      </c>
      <c r="E11" s="65">
        <v>-20292</v>
      </c>
      <c r="F11" s="65">
        <v>-23515</v>
      </c>
      <c r="G11" s="65">
        <v>-22700</v>
      </c>
      <c r="H11" s="65">
        <v>-22710</v>
      </c>
      <c r="I11" s="106">
        <f>-I8*Assumptions!I11</f>
        <v>-19914.055711817567</v>
      </c>
      <c r="J11" s="106">
        <f>-J8*Assumptions!J11</f>
        <v>-18575.060979008857</v>
      </c>
      <c r="K11" s="106">
        <f>-K8*Assumptions!K11</f>
        <v>-17054.994236818704</v>
      </c>
    </row>
    <row r="12" spans="2:14">
      <c r="C12" s="8" t="s">
        <v>42</v>
      </c>
      <c r="D12" s="65">
        <v>-6888</v>
      </c>
      <c r="E12" s="65">
        <v>-6841</v>
      </c>
      <c r="F12" s="65">
        <v>-7197</v>
      </c>
      <c r="G12" s="65">
        <v>-7336</v>
      </c>
      <c r="H12" s="65">
        <v>-8254</v>
      </c>
      <c r="I12" s="106">
        <f>-I8*Assumptions!I12</f>
        <v>-8298.2893830507219</v>
      </c>
      <c r="J12" s="106">
        <f>-J8*Assumptions!J12</f>
        <v>-8921.6458289834954</v>
      </c>
      <c r="K12" s="106">
        <f>-K8*Assumptions!K12</f>
        <v>-9414.8984627925201</v>
      </c>
    </row>
    <row r="13" spans="2:14">
      <c r="C13" s="8" t="s">
        <v>43</v>
      </c>
      <c r="D13" s="65">
        <v>9956</v>
      </c>
      <c r="E13" s="65">
        <v>10298</v>
      </c>
      <c r="F13" s="65">
        <v>12905</v>
      </c>
      <c r="G13" s="65">
        <v>13049</v>
      </c>
      <c r="H13" s="65">
        <v>14500</v>
      </c>
      <c r="I13" s="100">
        <f>I8*Assumptions!I13</f>
        <v>13712.023327862955</v>
      </c>
      <c r="J13" s="100">
        <f>J8*Assumptions!J13</f>
        <v>14202.495779937221</v>
      </c>
      <c r="K13" s="100">
        <f>K8*Assumptions!K13</f>
        <v>14195.132771284385</v>
      </c>
    </row>
    <row r="14" spans="2:14">
      <c r="C14" s="8" t="s">
        <v>44</v>
      </c>
      <c r="D14" s="65">
        <v>-7343</v>
      </c>
      <c r="E14" s="65">
        <v>-6992</v>
      </c>
      <c r="F14" s="65">
        <v>-20171</v>
      </c>
      <c r="G14" s="65">
        <v>-16907</v>
      </c>
      <c r="H14" s="65">
        <v>-12259</v>
      </c>
      <c r="I14" s="106">
        <f>-I8*Assumptions!I14</f>
        <v>-15626.208784088987</v>
      </c>
      <c r="J14" s="106">
        <f>-J8*Assumptions!J14</f>
        <v>-14999.959917628606</v>
      </c>
      <c r="K14" s="106">
        <f>-K8*Assumptions!K14</f>
        <v>-16772.226685170237</v>
      </c>
    </row>
    <row r="15" spans="2:14">
      <c r="C15" s="68" t="s">
        <v>45</v>
      </c>
      <c r="D15" s="69">
        <v>11671</v>
      </c>
      <c r="E15" s="69">
        <v>12697</v>
      </c>
      <c r="F15" s="69">
        <v>-4069</v>
      </c>
      <c r="G15" s="69">
        <v>7103</v>
      </c>
      <c r="H15" s="69">
        <v>13818</v>
      </c>
      <c r="I15" s="101">
        <f>SUM(I10:I14)</f>
        <v>12723.227487895994</v>
      </c>
      <c r="J15" s="101">
        <f>SUM(J10:J14)</f>
        <v>17731.065059051722</v>
      </c>
      <c r="K15" s="101">
        <f>SUM(K10:K14)</f>
        <v>19545.557780994866</v>
      </c>
    </row>
    <row r="16" spans="2:14">
      <c r="C16" s="19" t="s">
        <v>46</v>
      </c>
      <c r="D16" s="65">
        <v>3588</v>
      </c>
      <c r="E16" s="65">
        <v>3988</v>
      </c>
      <c r="F16" s="65">
        <v>4387</v>
      </c>
      <c r="G16" s="65">
        <v>3497</v>
      </c>
      <c r="H16" s="65">
        <v>3482</v>
      </c>
      <c r="I16" s="100">
        <f>H16</f>
        <v>3482</v>
      </c>
      <c r="J16" s="100">
        <f>I16</f>
        <v>3482</v>
      </c>
      <c r="K16" s="100">
        <f>J16</f>
        <v>3482</v>
      </c>
    </row>
    <row r="17" spans="3:11">
      <c r="C17" s="19" t="s">
        <v>63</v>
      </c>
      <c r="D17" s="65"/>
      <c r="E17" s="65"/>
      <c r="F17" s="65"/>
      <c r="G17" s="65">
        <v>1285</v>
      </c>
      <c r="H17" s="65">
        <v>951</v>
      </c>
      <c r="I17" s="100">
        <f t="shared" ref="I17:K17" si="0">H17</f>
        <v>951</v>
      </c>
      <c r="J17" s="100">
        <f t="shared" si="0"/>
        <v>951</v>
      </c>
      <c r="K17" s="100">
        <f t="shared" si="0"/>
        <v>951</v>
      </c>
    </row>
    <row r="18" spans="3:11">
      <c r="C18" s="19" t="s">
        <v>64</v>
      </c>
      <c r="D18" s="65">
        <v>-2366</v>
      </c>
      <c r="E18" s="65">
        <v>-2658</v>
      </c>
      <c r="F18" s="65">
        <v>-2393</v>
      </c>
      <c r="G18" s="65">
        <v>-2955</v>
      </c>
      <c r="H18" s="65">
        <v>-2317</v>
      </c>
      <c r="I18" s="106">
        <f>H18</f>
        <v>-2317</v>
      </c>
      <c r="J18" s="106">
        <f>I18</f>
        <v>-2317</v>
      </c>
      <c r="K18" s="106">
        <f>J18</f>
        <v>-2317</v>
      </c>
    </row>
    <row r="19" spans="3:11">
      <c r="C19" s="19" t="s">
        <v>65</v>
      </c>
      <c r="D19" s="65">
        <v>-465</v>
      </c>
      <c r="E19" s="65">
        <v>767</v>
      </c>
      <c r="F19" s="65">
        <v>773</v>
      </c>
      <c r="G19" s="65">
        <v>-1638</v>
      </c>
      <c r="H19" s="65">
        <v>-2022</v>
      </c>
      <c r="I19" s="100"/>
      <c r="J19" s="100"/>
      <c r="K19" s="100"/>
    </row>
    <row r="20" spans="3:11">
      <c r="C20" s="9" t="s">
        <v>47</v>
      </c>
      <c r="D20" s="67">
        <v>757</v>
      </c>
      <c r="E20" s="67">
        <v>2097</v>
      </c>
      <c r="F20" s="67">
        <v>2767</v>
      </c>
      <c r="G20" s="67">
        <v>189</v>
      </c>
      <c r="H20" s="67">
        <v>94</v>
      </c>
      <c r="I20" s="102">
        <f>SUM(I16:I19)</f>
        <v>2116</v>
      </c>
      <c r="J20" s="102">
        <f>SUM(J16:J19)</f>
        <v>2116</v>
      </c>
      <c r="K20" s="102">
        <f>SUM(K16:K19)</f>
        <v>2116</v>
      </c>
    </row>
    <row r="21" spans="3:11">
      <c r="C21" s="68" t="s">
        <v>48</v>
      </c>
      <c r="D21" s="69">
        <v>12428</v>
      </c>
      <c r="E21" s="69">
        <v>14794</v>
      </c>
      <c r="F21" s="69">
        <v>-1301</v>
      </c>
      <c r="G21" s="69">
        <v>7292</v>
      </c>
      <c r="H21" s="69">
        <v>13913</v>
      </c>
      <c r="I21" s="101">
        <f>I15+I20</f>
        <v>14839.227487895994</v>
      </c>
      <c r="J21" s="101">
        <f>J15+J20</f>
        <v>19847.065059051722</v>
      </c>
      <c r="K21" s="101">
        <f>K15+K20</f>
        <v>21661.557780994866</v>
      </c>
    </row>
    <row r="22" spans="3:11">
      <c r="C22" s="13" t="s">
        <v>49</v>
      </c>
      <c r="D22" s="65">
        <v>-3283</v>
      </c>
      <c r="E22" s="65">
        <v>-3726</v>
      </c>
      <c r="F22" s="65">
        <v>-59</v>
      </c>
      <c r="G22" s="65">
        <v>-1912</v>
      </c>
      <c r="H22" s="65">
        <v>-2275</v>
      </c>
      <c r="I22" s="106">
        <f>-I21*Assumptions!I15</f>
        <v>-3158.6875516157475</v>
      </c>
      <c r="J22" s="106">
        <f>-J21*Assumptions!J15</f>
        <v>-3734.9872410212392</v>
      </c>
      <c r="K22" s="106">
        <f>-K21*Assumptions!K15</f>
        <v>-4343.67344655745</v>
      </c>
    </row>
    <row r="23" spans="3:11">
      <c r="C23" s="8" t="s">
        <v>50</v>
      </c>
      <c r="D23" s="65">
        <v>-3733</v>
      </c>
      <c r="E23" s="65">
        <v>-3632</v>
      </c>
      <c r="F23" s="65">
        <v>-2859</v>
      </c>
      <c r="G23" s="65">
        <v>-3273</v>
      </c>
      <c r="H23" s="65">
        <v>-3205</v>
      </c>
      <c r="I23" s="99"/>
      <c r="J23" s="100"/>
      <c r="K23" s="100"/>
    </row>
    <row r="24" spans="3:11" ht="15.75" thickBot="1">
      <c r="C24" s="8" t="s">
        <v>51</v>
      </c>
      <c r="D24" s="65">
        <v>449</v>
      </c>
      <c r="E24" s="65">
        <v>-94</v>
      </c>
      <c r="F24" s="65">
        <v>2800</v>
      </c>
      <c r="G24" s="65">
        <v>1361</v>
      </c>
      <c r="H24" s="65">
        <v>930</v>
      </c>
      <c r="I24" s="100"/>
      <c r="J24" s="100"/>
      <c r="K24" s="100"/>
    </row>
    <row r="25" spans="3:11" ht="15.75" thickBot="1">
      <c r="C25" s="38" t="s">
        <v>52</v>
      </c>
      <c r="D25" s="71">
        <v>9145</v>
      </c>
      <c r="E25" s="71">
        <v>11068</v>
      </c>
      <c r="F25" s="71">
        <v>-1361</v>
      </c>
      <c r="G25" s="71">
        <v>5379</v>
      </c>
      <c r="H25" s="71">
        <v>11638</v>
      </c>
      <c r="I25" s="103">
        <f>I21+I22</f>
        <v>11680.539936280247</v>
      </c>
      <c r="J25" s="103">
        <f>J21+J22</f>
        <v>16112.077818030482</v>
      </c>
      <c r="K25" s="104">
        <f>K21+K22</f>
        <v>17317.884334437418</v>
      </c>
    </row>
    <row r="26" spans="3:11">
      <c r="C26" s="13" t="s">
        <v>53</v>
      </c>
      <c r="D26" s="65"/>
      <c r="E26" s="65"/>
      <c r="F26" s="65"/>
      <c r="G26" s="65"/>
      <c r="H26" s="65"/>
      <c r="I26" s="100"/>
      <c r="J26" s="100"/>
      <c r="K26" s="100"/>
    </row>
    <row r="27" spans="3:11">
      <c r="C27" s="13" t="s">
        <v>54</v>
      </c>
      <c r="D27" s="65">
        <v>52</v>
      </c>
      <c r="E27" s="65">
        <v>84</v>
      </c>
      <c r="F27" s="65">
        <v>10</v>
      </c>
      <c r="G27" s="65">
        <v>10</v>
      </c>
      <c r="H27" s="65">
        <v>10</v>
      </c>
      <c r="I27" s="100">
        <f t="shared" ref="I27:K27" si="1">H27</f>
        <v>10</v>
      </c>
      <c r="J27" s="100">
        <f t="shared" si="1"/>
        <v>10</v>
      </c>
      <c r="K27" s="100">
        <f t="shared" si="1"/>
        <v>10</v>
      </c>
    </row>
    <row r="28" spans="3:11">
      <c r="C28" s="13" t="s">
        <v>55</v>
      </c>
      <c r="D28" s="65">
        <v>27</v>
      </c>
      <c r="E28" s="65">
        <v>138</v>
      </c>
      <c r="F28" s="65">
        <v>212</v>
      </c>
      <c r="G28" s="65">
        <v>225</v>
      </c>
      <c r="H28" s="65">
        <v>274</v>
      </c>
      <c r="I28" s="100">
        <f t="shared" ref="I28:K28" si="2">H28+40</f>
        <v>314</v>
      </c>
      <c r="J28" s="100">
        <f t="shared" si="2"/>
        <v>354</v>
      </c>
      <c r="K28" s="100">
        <f t="shared" si="2"/>
        <v>394</v>
      </c>
    </row>
    <row r="29" spans="3:11">
      <c r="C29" s="13" t="s">
        <v>56</v>
      </c>
      <c r="D29" s="65">
        <v>9066</v>
      </c>
      <c r="E29" s="65">
        <v>10847</v>
      </c>
      <c r="F29" s="65">
        <v>-1582</v>
      </c>
      <c r="G29" s="65">
        <v>5144</v>
      </c>
      <c r="H29" s="65">
        <v>11354</v>
      </c>
      <c r="I29" s="100">
        <f t="shared" ref="I29:K29" si="3">I25-I27-I28</f>
        <v>11356.539936280247</v>
      </c>
      <c r="J29" s="100">
        <f t="shared" si="3"/>
        <v>15748.077818030482</v>
      </c>
      <c r="K29" s="100">
        <f t="shared" si="3"/>
        <v>16913.884334437418</v>
      </c>
    </row>
    <row r="30" spans="3:11">
      <c r="D30" s="65"/>
      <c r="E30" s="65"/>
      <c r="F30" s="65"/>
      <c r="G30" s="65"/>
      <c r="H30" s="65"/>
      <c r="I30" s="100"/>
      <c r="J30" s="100"/>
      <c r="K30" s="100"/>
    </row>
    <row r="31" spans="3:11">
      <c r="C31" s="177" t="s">
        <v>57</v>
      </c>
      <c r="D31" s="178">
        <v>18.61</v>
      </c>
      <c r="E31" s="178">
        <v>21.82</v>
      </c>
      <c r="F31" s="178" t="s">
        <v>61</v>
      </c>
      <c r="G31" s="178">
        <v>10.24</v>
      </c>
      <c r="H31" s="178">
        <v>22.63</v>
      </c>
      <c r="I31" s="179">
        <f t="shared" ref="I31:K31" si="4">I36/I44</f>
        <v>22.654393078277</v>
      </c>
      <c r="J31" s="179">
        <f t="shared" si="4"/>
        <v>31.414774845040746</v>
      </c>
      <c r="K31" s="180">
        <f t="shared" si="4"/>
        <v>33.740363380288755</v>
      </c>
    </row>
    <row r="32" spans="3:11">
      <c r="C32" s="181" t="s">
        <v>58</v>
      </c>
      <c r="D32" s="175">
        <v>18.61</v>
      </c>
      <c r="E32" s="175">
        <v>21.82</v>
      </c>
      <c r="F32" s="175" t="s">
        <v>61</v>
      </c>
      <c r="G32" s="175">
        <v>10.24</v>
      </c>
      <c r="H32" s="175">
        <v>22.63</v>
      </c>
      <c r="I32" s="176">
        <f t="shared" ref="I32:K32" si="5">I37/I45</f>
        <v>22.654393078277</v>
      </c>
      <c r="J32" s="176">
        <f t="shared" si="5"/>
        <v>31.414774845040746</v>
      </c>
      <c r="K32" s="182">
        <f t="shared" si="5"/>
        <v>33.740363380288755</v>
      </c>
    </row>
    <row r="33" spans="3:11">
      <c r="C33" s="181" t="s">
        <v>59</v>
      </c>
      <c r="D33" s="175">
        <v>18.670000000000002</v>
      </c>
      <c r="E33" s="175">
        <v>21.88</v>
      </c>
      <c r="F33" s="175" t="s">
        <v>62</v>
      </c>
      <c r="G33" s="175">
        <v>10.3</v>
      </c>
      <c r="H33" s="175">
        <v>22.69</v>
      </c>
      <c r="I33" s="176">
        <f>4760/I47</f>
        <v>23.083774533693813</v>
      </c>
      <c r="J33" s="176">
        <f>6145/J47</f>
        <v>29.800376997804303</v>
      </c>
      <c r="K33" s="182">
        <f>6791/K47</f>
        <v>32.933174970234177</v>
      </c>
    </row>
    <row r="34" spans="3:11">
      <c r="C34" s="183" t="s">
        <v>60</v>
      </c>
      <c r="D34" s="184">
        <v>18.670000000000002</v>
      </c>
      <c r="E34" s="184">
        <v>21.88</v>
      </c>
      <c r="F34" s="184" t="s">
        <v>62</v>
      </c>
      <c r="G34" s="184">
        <v>10.3</v>
      </c>
      <c r="H34" s="184">
        <v>22.69</v>
      </c>
      <c r="I34" s="185">
        <f>4760/I48</f>
        <v>23.083774533693813</v>
      </c>
      <c r="J34" s="185">
        <f>6145/J48</f>
        <v>29.800376997804303</v>
      </c>
      <c r="K34" s="186">
        <f>6791/K48</f>
        <v>32.933174970234177</v>
      </c>
    </row>
    <row r="35" spans="3:11">
      <c r="D35" s="66"/>
      <c r="E35" s="66"/>
      <c r="F35" s="66"/>
      <c r="G35" s="66"/>
      <c r="H35" s="66"/>
      <c r="I35" s="100"/>
      <c r="J35" s="100"/>
      <c r="K35" s="100"/>
    </row>
    <row r="36" spans="3:11">
      <c r="C36" s="13" t="s">
        <v>231</v>
      </c>
      <c r="D36" s="66"/>
      <c r="E36" s="66"/>
      <c r="F36" s="66"/>
      <c r="G36" s="65">
        <f>(G44/($G$44+$G$47))*$G$29</f>
        <v>3028.0398316710207</v>
      </c>
      <c r="H36" s="65">
        <f>(H44/(H44+H47))*H29</f>
        <v>6683.5855849130576</v>
      </c>
      <c r="I36" s="100">
        <f t="shared" ref="I36:K36" si="6">(I44/(I44+I47))*I29</f>
        <v>6685.0807303692191</v>
      </c>
      <c r="J36" s="100">
        <f t="shared" si="6"/>
        <v>9270.1801915340511</v>
      </c>
      <c r="K36" s="100">
        <f t="shared" si="6"/>
        <v>9956.437689143273</v>
      </c>
    </row>
    <row r="37" spans="3:11">
      <c r="C37" s="13" t="s">
        <v>232</v>
      </c>
      <c r="D37" s="66"/>
      <c r="E37" s="66"/>
      <c r="F37" s="66"/>
      <c r="G37" s="65">
        <f>(G45/($G$45+$G$48))*$G$29</f>
        <v>3028.0398316710207</v>
      </c>
      <c r="H37" s="65">
        <f>(H45/(H45+H48))*H29</f>
        <v>6683.5855849130576</v>
      </c>
      <c r="I37" s="100">
        <f t="shared" ref="I37:K37" si="7">(I45/(I45+I48))*I29</f>
        <v>6685.0807303692191</v>
      </c>
      <c r="J37" s="100">
        <f t="shared" si="7"/>
        <v>9270.1801915340511</v>
      </c>
      <c r="K37" s="100">
        <f t="shared" si="7"/>
        <v>9956.437689143273</v>
      </c>
    </row>
    <row r="38" spans="3:11">
      <c r="D38" s="66"/>
      <c r="E38" s="66"/>
      <c r="F38" s="66"/>
      <c r="G38" s="65"/>
      <c r="H38" s="65"/>
      <c r="I38" s="100"/>
      <c r="J38" s="100"/>
      <c r="K38" s="100"/>
    </row>
    <row r="39" spans="3:11">
      <c r="C39" s="13" t="s">
        <v>233</v>
      </c>
      <c r="D39" s="66"/>
      <c r="E39" s="66"/>
      <c r="F39" s="66"/>
      <c r="G39" s="65">
        <f>(G47/($G$44+$G$47))*$G$29</f>
        <v>2115.9601683289793</v>
      </c>
      <c r="H39" s="65">
        <f>(1-(H44/(H44+H47)))*H29</f>
        <v>4670.4144150869424</v>
      </c>
      <c r="I39" s="100">
        <f t="shared" ref="I39:K39" si="8">(1-(I44/(I44+I47)))*I29</f>
        <v>4671.4592059110282</v>
      </c>
      <c r="J39" s="100">
        <f t="shared" si="8"/>
        <v>6477.8976264964313</v>
      </c>
      <c r="K39" s="100">
        <f t="shared" si="8"/>
        <v>6957.4466452941451</v>
      </c>
    </row>
    <row r="40" spans="3:11">
      <c r="C40" s="13" t="s">
        <v>234</v>
      </c>
      <c r="D40" s="66"/>
      <c r="E40" s="66"/>
      <c r="F40" s="66"/>
      <c r="G40" s="65">
        <f>(G48/($G$45+$G$48))*$G$29</f>
        <v>2115.9601683289793</v>
      </c>
      <c r="H40" s="65">
        <f>(1-(H45/(H45+H48)))*H29</f>
        <v>4670.4144150869424</v>
      </c>
      <c r="I40" s="100">
        <f t="shared" ref="I40:K40" si="9">(1-(I45/(I45+I48)))*I29</f>
        <v>4671.4592059110282</v>
      </c>
      <c r="J40" s="100">
        <f t="shared" si="9"/>
        <v>6477.8976264964313</v>
      </c>
      <c r="K40" s="100">
        <f t="shared" si="9"/>
        <v>6957.4466452941451</v>
      </c>
    </row>
    <row r="41" spans="3:11">
      <c r="D41" s="65"/>
      <c r="E41" s="65"/>
      <c r="F41" s="65"/>
      <c r="G41" s="65"/>
      <c r="H41" s="65"/>
      <c r="I41" s="174"/>
      <c r="J41" s="100"/>
      <c r="K41" s="100"/>
    </row>
    <row r="42" spans="3:11">
      <c r="C42" s="6" t="s">
        <v>226</v>
      </c>
      <c r="I42" s="100"/>
      <c r="J42" s="100"/>
      <c r="K42" s="100"/>
    </row>
    <row r="43" spans="3:11">
      <c r="C43" s="9" t="s">
        <v>227</v>
      </c>
      <c r="I43" s="173"/>
      <c r="J43" s="173"/>
      <c r="K43" s="173"/>
    </row>
    <row r="44" spans="3:11">
      <c r="C44" s="19" t="s">
        <v>228</v>
      </c>
      <c r="E44" s="56">
        <f t="shared" ref="E44:I45" si="10">295089818/1000000</f>
        <v>295.08981799999998</v>
      </c>
      <c r="F44" s="56">
        <f t="shared" si="10"/>
        <v>295.08981799999998</v>
      </c>
      <c r="G44" s="56">
        <f t="shared" si="10"/>
        <v>295.08981799999998</v>
      </c>
      <c r="H44" s="56">
        <f t="shared" si="10"/>
        <v>295.08981799999998</v>
      </c>
      <c r="I44" s="52">
        <f t="shared" si="10"/>
        <v>295.08981799999998</v>
      </c>
      <c r="J44" s="52">
        <f t="shared" ref="J44:K45" si="11">295089818/1000000</f>
        <v>295.08981799999998</v>
      </c>
      <c r="K44" s="52">
        <f t="shared" si="11"/>
        <v>295.08981799999998</v>
      </c>
    </row>
    <row r="45" spans="3:11">
      <c r="C45" s="19" t="s">
        <v>229</v>
      </c>
      <c r="E45" s="56">
        <f t="shared" si="10"/>
        <v>295.08981799999998</v>
      </c>
      <c r="F45" s="56">
        <f t="shared" si="10"/>
        <v>295.08981799999998</v>
      </c>
      <c r="G45" s="56">
        <f t="shared" si="10"/>
        <v>295.08981799999998</v>
      </c>
      <c r="H45" s="56">
        <f t="shared" si="10"/>
        <v>295.08981799999998</v>
      </c>
      <c r="I45" s="52">
        <f t="shared" si="10"/>
        <v>295.08981799999998</v>
      </c>
      <c r="J45" s="52">
        <f t="shared" si="11"/>
        <v>295.08981799999998</v>
      </c>
      <c r="K45" s="52">
        <f t="shared" si="11"/>
        <v>295.08981799999998</v>
      </c>
    </row>
    <row r="46" spans="3:11">
      <c r="C46" s="9" t="s">
        <v>230</v>
      </c>
      <c r="I46" s="52"/>
      <c r="J46" s="52"/>
      <c r="K46" s="52"/>
    </row>
    <row r="47" spans="3:11">
      <c r="C47" s="19" t="s">
        <v>228</v>
      </c>
      <c r="G47" s="56">
        <f t="shared" ref="G47:I48" si="12">206205445/1000000</f>
        <v>206.205445</v>
      </c>
      <c r="H47" s="56">
        <f t="shared" si="12"/>
        <v>206.205445</v>
      </c>
      <c r="I47" s="52">
        <f t="shared" si="12"/>
        <v>206.205445</v>
      </c>
      <c r="J47" s="52">
        <f t="shared" ref="J47:K48" si="13">206205445/1000000</f>
        <v>206.205445</v>
      </c>
      <c r="K47" s="52">
        <f t="shared" si="13"/>
        <v>206.205445</v>
      </c>
    </row>
    <row r="48" spans="3:11">
      <c r="C48" s="19" t="s">
        <v>229</v>
      </c>
      <c r="G48" s="56">
        <f t="shared" si="12"/>
        <v>206.205445</v>
      </c>
      <c r="H48" s="56">
        <f t="shared" si="12"/>
        <v>206.205445</v>
      </c>
      <c r="I48" s="52">
        <f t="shared" si="12"/>
        <v>206.205445</v>
      </c>
      <c r="J48" s="52">
        <f t="shared" si="13"/>
        <v>206.205445</v>
      </c>
      <c r="K48" s="52">
        <f t="shared" si="13"/>
        <v>206.205445</v>
      </c>
    </row>
    <row r="49" spans="9:11">
      <c r="I49" s="52"/>
      <c r="J49" s="52"/>
      <c r="K49" s="52"/>
    </row>
    <row r="50" spans="9:11" s="2" customFormat="1" ht="15" customHeight="1"/>
    <row r="51" spans="9:11" hidden="1"/>
    <row r="52" spans="9:11" hidden="1"/>
    <row r="53" spans="9:11" hidden="1"/>
    <row r="54" spans="9:11" hidden="1"/>
    <row r="55" spans="9:11" hidden="1"/>
    <row r="56" spans="9:11" hidden="1"/>
    <row r="57" spans="9:11" hidden="1"/>
    <row r="58" spans="9:11" hidden="1"/>
    <row r="59" spans="9:11" hidden="1"/>
    <row r="60" spans="9:11" hidden="1"/>
    <row r="61" spans="9:11" hidden="1"/>
    <row r="62" spans="9:11" hidden="1"/>
    <row r="63" spans="9:11" hidden="1"/>
    <row r="64" spans="9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</sheetData>
  <mergeCells count="2">
    <mergeCell ref="I5:K5"/>
    <mergeCell ref="D5:H5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N128"/>
  <sheetViews>
    <sheetView showGridLines="0" topLeftCell="A6" zoomScale="98" zoomScaleNormal="98" workbookViewId="0">
      <selection activeCell="I15" sqref="I15"/>
    </sheetView>
  </sheetViews>
  <sheetFormatPr defaultColWidth="0" defaultRowHeight="15" customHeight="1" zeroHeight="1"/>
  <cols>
    <col min="1" max="1" width="3.7109375" style="2" customWidth="1"/>
    <col min="2" max="2" width="9.140625" style="13" customWidth="1"/>
    <col min="3" max="3" width="42.28515625" style="13" customWidth="1"/>
    <col min="4" max="11" width="10.7109375" style="13" customWidth="1"/>
    <col min="12" max="12" width="3.7109375" style="2" customWidth="1"/>
    <col min="13" max="14" width="0" style="13" hidden="1" customWidth="1"/>
    <col min="15" max="16384" width="9.140625" style="13" hidden="1"/>
  </cols>
  <sheetData>
    <row r="1" spans="2:14" s="2" customFormat="1" ht="15" customHeight="1"/>
    <row r="2" spans="2:14" ht="17.25">
      <c r="B2" s="58" t="str">
        <f>Company_Name</f>
        <v>Volkswagen Aktiengesellschaft</v>
      </c>
      <c r="C2" s="58"/>
      <c r="D2" s="59"/>
      <c r="E2" s="59"/>
      <c r="F2" s="59"/>
      <c r="G2" s="59"/>
      <c r="H2" s="59"/>
      <c r="I2" s="59"/>
      <c r="J2" s="59"/>
      <c r="K2" s="59"/>
    </row>
    <row r="3" spans="2:14">
      <c r="B3" s="60" t="s">
        <v>11</v>
      </c>
      <c r="C3" s="59"/>
      <c r="D3" s="59"/>
      <c r="E3" s="59"/>
      <c r="F3" s="59"/>
      <c r="G3" s="59"/>
      <c r="H3" s="59"/>
      <c r="I3" s="59"/>
      <c r="J3" s="59"/>
      <c r="K3" s="59"/>
    </row>
    <row r="4" spans="2:14">
      <c r="B4" s="61"/>
      <c r="C4" s="61"/>
      <c r="D4" s="59"/>
      <c r="E4" s="59"/>
      <c r="F4" s="59"/>
      <c r="G4" s="59"/>
      <c r="H4" s="59"/>
      <c r="I4" s="59"/>
      <c r="J4" s="59"/>
      <c r="K4" s="59"/>
    </row>
    <row r="5" spans="2:14">
      <c r="B5" s="59"/>
      <c r="C5" s="59"/>
      <c r="D5" s="196" t="s">
        <v>4</v>
      </c>
      <c r="E5" s="196"/>
      <c r="F5" s="196"/>
      <c r="G5" s="196"/>
      <c r="H5" s="196"/>
      <c r="I5" s="195" t="s">
        <v>17</v>
      </c>
      <c r="J5" s="195"/>
      <c r="K5" s="195"/>
    </row>
    <row r="6" spans="2:14" ht="18" customHeight="1">
      <c r="B6" s="62" t="str">
        <f>Currency</f>
        <v>€ million</v>
      </c>
      <c r="C6" s="62"/>
      <c r="D6" s="63">
        <f>EDATE(E6,-12)</f>
        <v>41639</v>
      </c>
      <c r="E6" s="63">
        <f>EDATE(F6,-12)</f>
        <v>42004</v>
      </c>
      <c r="F6" s="63">
        <f>EDATE(G6,-12)</f>
        <v>42369</v>
      </c>
      <c r="G6" s="63">
        <f>EDATE(H6, -12)</f>
        <v>42735</v>
      </c>
      <c r="H6" s="63">
        <f>Last_Financial_Period</f>
        <v>43100</v>
      </c>
      <c r="I6" s="64">
        <f>EDATE(H6,12)</f>
        <v>43465</v>
      </c>
      <c r="J6" s="64">
        <f>EDATE(I6,12)</f>
        <v>43830</v>
      </c>
      <c r="K6" s="64">
        <f>EDATE(J6,12)</f>
        <v>44196</v>
      </c>
      <c r="L6" s="3"/>
      <c r="M6" s="1"/>
      <c r="N6" s="1"/>
    </row>
    <row r="7" spans="2:14">
      <c r="I7" s="10"/>
      <c r="J7" s="10"/>
      <c r="K7" s="10"/>
    </row>
    <row r="8" spans="2:14" ht="15.75">
      <c r="C8" s="7" t="s">
        <v>67</v>
      </c>
      <c r="H8" s="4"/>
      <c r="I8" s="99"/>
      <c r="J8" s="106"/>
      <c r="K8" s="106"/>
    </row>
    <row r="9" spans="2:14">
      <c r="C9" s="6" t="s">
        <v>68</v>
      </c>
      <c r="I9" s="99"/>
      <c r="J9" s="10"/>
      <c r="K9" s="10"/>
    </row>
    <row r="10" spans="2:14">
      <c r="B10" s="4"/>
      <c r="C10" s="187" t="s">
        <v>69</v>
      </c>
      <c r="D10" s="4">
        <v>59243</v>
      </c>
      <c r="E10" s="4">
        <v>59935</v>
      </c>
      <c r="F10" s="4">
        <v>61147</v>
      </c>
      <c r="G10" s="4">
        <v>62599</v>
      </c>
      <c r="H10" s="4">
        <v>63419</v>
      </c>
      <c r="I10" s="106">
        <f>FAM!G124</f>
        <v>64694.736410715006</v>
      </c>
      <c r="J10" s="106">
        <f>FAM!H124</f>
        <v>65826.08483757978</v>
      </c>
      <c r="K10" s="106">
        <f>FAM!I124</f>
        <v>67515.977286189649</v>
      </c>
    </row>
    <row r="11" spans="2:14">
      <c r="B11" s="4"/>
      <c r="C11" s="187" t="s">
        <v>70</v>
      </c>
      <c r="D11" s="4">
        <v>42389</v>
      </c>
      <c r="E11" s="4">
        <v>46169</v>
      </c>
      <c r="F11" s="4">
        <v>50171</v>
      </c>
      <c r="G11" s="4">
        <v>54033</v>
      </c>
      <c r="H11" s="4">
        <v>55243</v>
      </c>
      <c r="I11" s="106">
        <f>FAM!G51</f>
        <v>56618.889937769243</v>
      </c>
      <c r="J11" s="106">
        <f>FAM!H51</f>
        <v>58611.679022795332</v>
      </c>
      <c r="K11" s="106">
        <f>FAM!I51</f>
        <v>60739.688184663464</v>
      </c>
    </row>
    <row r="12" spans="2:14">
      <c r="B12" s="4"/>
      <c r="C12" s="187" t="s">
        <v>71</v>
      </c>
      <c r="D12" s="4">
        <v>22259</v>
      </c>
      <c r="E12" s="4">
        <v>27585</v>
      </c>
      <c r="F12" s="4">
        <v>33173</v>
      </c>
      <c r="G12" s="4">
        <v>38439</v>
      </c>
      <c r="H12" s="4">
        <v>39254</v>
      </c>
      <c r="I12" s="106">
        <f>FAM!G144</f>
        <v>42470.671542646502</v>
      </c>
      <c r="J12" s="106">
        <f>FAM!H144</f>
        <v>46473.539059972296</v>
      </c>
      <c r="K12" s="106">
        <f>FAM!I144</f>
        <v>50333.647724257768</v>
      </c>
    </row>
    <row r="13" spans="2:14">
      <c r="B13" s="4"/>
      <c r="C13" s="187" t="s">
        <v>72</v>
      </c>
      <c r="D13" s="4">
        <v>427</v>
      </c>
      <c r="E13" s="4">
        <v>485</v>
      </c>
      <c r="F13" s="4">
        <v>504</v>
      </c>
      <c r="G13" s="4">
        <v>512</v>
      </c>
      <c r="H13" s="4">
        <v>468</v>
      </c>
      <c r="I13" s="106">
        <f>FAM!G164</f>
        <v>476.07179213411962</v>
      </c>
      <c r="J13" s="106">
        <f>FAM!H164</f>
        <v>473.47743546075947</v>
      </c>
      <c r="K13" s="106">
        <f>FAM!I164</f>
        <v>492.70171522589749</v>
      </c>
    </row>
    <row r="14" spans="2:14">
      <c r="B14" s="4"/>
      <c r="C14" s="187" t="s">
        <v>73</v>
      </c>
      <c r="D14" s="4">
        <v>7934</v>
      </c>
      <c r="E14" s="4">
        <v>9874</v>
      </c>
      <c r="F14" s="4">
        <v>10904</v>
      </c>
      <c r="G14" s="4">
        <v>8616</v>
      </c>
      <c r="H14" s="4">
        <v>8205</v>
      </c>
      <c r="I14" s="106">
        <f>H14</f>
        <v>8205</v>
      </c>
      <c r="J14" s="106">
        <f>I14</f>
        <v>8205</v>
      </c>
      <c r="K14" s="106">
        <f>J14</f>
        <v>8205</v>
      </c>
    </row>
    <row r="15" spans="2:14">
      <c r="B15" s="4"/>
      <c r="C15" s="187" t="s">
        <v>74</v>
      </c>
      <c r="D15" s="4">
        <v>3941</v>
      </c>
      <c r="E15" s="4">
        <v>3683</v>
      </c>
      <c r="F15" s="4">
        <v>974</v>
      </c>
      <c r="G15" s="4">
        <v>996</v>
      </c>
      <c r="H15" s="4">
        <v>1318</v>
      </c>
      <c r="I15" s="106">
        <f>H15*1.01</f>
        <v>1331.18</v>
      </c>
      <c r="J15" s="106">
        <f>I15*1.01</f>
        <v>1344.4918</v>
      </c>
      <c r="K15" s="106">
        <f>J15*1.01</f>
        <v>1357.9367179999999</v>
      </c>
    </row>
    <row r="16" spans="2:14">
      <c r="B16" s="4"/>
      <c r="C16" s="187" t="s">
        <v>75</v>
      </c>
      <c r="D16" s="4">
        <v>51198</v>
      </c>
      <c r="E16" s="4">
        <v>57877</v>
      </c>
      <c r="F16" s="4">
        <v>63185</v>
      </c>
      <c r="G16" s="4">
        <v>68402</v>
      </c>
      <c r="H16" s="4">
        <v>73249</v>
      </c>
      <c r="I16" s="106">
        <f>'Income Statement'!I8*Assumptions!I22</f>
        <v>78079.258026263386</v>
      </c>
      <c r="J16" s="106">
        <f>'Income Statement'!J8*Assumptions!J22</f>
        <v>81525.122521209618</v>
      </c>
      <c r="K16" s="106">
        <f>'Income Statement'!K8*Assumptions!K22</f>
        <v>87299.784249489036</v>
      </c>
    </row>
    <row r="17" spans="2:11">
      <c r="B17" s="4"/>
      <c r="C17" s="187" t="s">
        <v>76</v>
      </c>
      <c r="D17" s="4">
        <v>7040</v>
      </c>
      <c r="E17" s="4">
        <v>6498</v>
      </c>
      <c r="F17" s="4">
        <v>6730</v>
      </c>
      <c r="G17" s="4">
        <v>8256</v>
      </c>
      <c r="H17" s="4">
        <v>8455</v>
      </c>
      <c r="I17" s="106">
        <f>H17*1.007</f>
        <v>8514.1849999999995</v>
      </c>
      <c r="J17" s="106">
        <f>I17*1.007</f>
        <v>8573.7842949999995</v>
      </c>
      <c r="K17" s="106">
        <f>J17*1.007</f>
        <v>8633.8007850649992</v>
      </c>
    </row>
    <row r="18" spans="2:11">
      <c r="B18" s="4"/>
      <c r="C18" s="187" t="s">
        <v>77</v>
      </c>
      <c r="D18" s="4">
        <v>1456</v>
      </c>
      <c r="E18" s="4">
        <v>1654</v>
      </c>
      <c r="F18" s="4">
        <v>1340</v>
      </c>
      <c r="G18" s="4">
        <v>2009</v>
      </c>
      <c r="H18" s="4">
        <v>2252</v>
      </c>
      <c r="I18" s="106">
        <f>'Income Statement'!I8*Assumptions!I23</f>
        <v>2387.5046527466525</v>
      </c>
      <c r="J18" s="106">
        <f>'Income Statement'!J8*Assumptions!J23</f>
        <v>2626.0087048746764</v>
      </c>
      <c r="K18" s="106">
        <f>'Income Statement'!K8*Assumptions!K23</f>
        <v>2874.6066408049373</v>
      </c>
    </row>
    <row r="19" spans="2:11">
      <c r="B19" s="4"/>
      <c r="C19" s="187" t="s">
        <v>78</v>
      </c>
      <c r="D19" s="4">
        <v>633</v>
      </c>
      <c r="E19" s="4">
        <v>468</v>
      </c>
      <c r="F19" s="4">
        <v>395</v>
      </c>
      <c r="G19" s="4">
        <v>392</v>
      </c>
      <c r="H19" s="4">
        <v>407</v>
      </c>
      <c r="I19" s="106">
        <f>H19+10</f>
        <v>417</v>
      </c>
      <c r="J19" s="106">
        <f>I19+10</f>
        <v>427</v>
      </c>
      <c r="K19" s="106">
        <f>J19+10</f>
        <v>437</v>
      </c>
    </row>
    <row r="20" spans="2:11">
      <c r="B20" s="4"/>
      <c r="C20" s="19" t="s">
        <v>79</v>
      </c>
      <c r="D20" s="4">
        <v>5622</v>
      </c>
      <c r="E20" s="4">
        <v>5878</v>
      </c>
      <c r="F20" s="4">
        <v>8026</v>
      </c>
      <c r="G20" s="4">
        <v>9756</v>
      </c>
      <c r="H20" s="4">
        <v>9810</v>
      </c>
      <c r="I20" s="106">
        <f>H20</f>
        <v>9810</v>
      </c>
      <c r="J20" s="106">
        <f>I20</f>
        <v>9810</v>
      </c>
      <c r="K20" s="106">
        <f>J20</f>
        <v>9810</v>
      </c>
    </row>
    <row r="21" spans="2:11">
      <c r="B21" s="4"/>
      <c r="C21" s="73"/>
      <c r="D21" s="70">
        <v>202141</v>
      </c>
      <c r="E21" s="70">
        <v>220106</v>
      </c>
      <c r="F21" s="70">
        <v>236548</v>
      </c>
      <c r="G21" s="70">
        <v>254010</v>
      </c>
      <c r="H21" s="70">
        <v>262081</v>
      </c>
      <c r="I21" s="114">
        <f>SUM(I10:I20)</f>
        <v>273004.49736227491</v>
      </c>
      <c r="J21" s="114">
        <f>SUM(J10:J20)</f>
        <v>283896.18767689244</v>
      </c>
      <c r="K21" s="114">
        <f>SUM(K10:K20)</f>
        <v>297700.14330369572</v>
      </c>
    </row>
    <row r="22" spans="2:11">
      <c r="B22" s="4"/>
      <c r="C22" s="6" t="s">
        <v>80</v>
      </c>
      <c r="D22" s="4"/>
      <c r="E22" s="4"/>
      <c r="F22" s="4"/>
      <c r="G22" s="4"/>
      <c r="H22" s="193">
        <f>H21/G21-1</f>
        <v>3.1774339592929302E-2</v>
      </c>
      <c r="I22" s="194">
        <f>I21/H21-1</f>
        <v>4.1679852268096118E-2</v>
      </c>
      <c r="J22" s="194">
        <f t="shared" ref="J22:K22" si="0">J21/I21-1</f>
        <v>3.9895644283706844E-2</v>
      </c>
      <c r="K22" s="194">
        <f t="shared" si="0"/>
        <v>4.8623251124857658E-2</v>
      </c>
    </row>
    <row r="23" spans="2:11">
      <c r="B23" s="4"/>
      <c r="C23" s="187" t="s">
        <v>13</v>
      </c>
      <c r="D23" s="4">
        <v>28653</v>
      </c>
      <c r="E23" s="4">
        <v>31466</v>
      </c>
      <c r="F23" s="4">
        <v>35048</v>
      </c>
      <c r="G23" s="4">
        <v>38978</v>
      </c>
      <c r="H23" s="4">
        <v>40415</v>
      </c>
      <c r="I23" s="106">
        <f>-'Income Statement'!I9*Assumptions!I26</f>
        <v>45613.858242334536</v>
      </c>
      <c r="J23" s="106">
        <f>-'Income Statement'!J9*Assumptions!J26</f>
        <v>50455.913781031959</v>
      </c>
      <c r="K23" s="106">
        <f>-'Income Statement'!K9*Assumptions!K26</f>
        <v>56909.97318283705</v>
      </c>
    </row>
    <row r="24" spans="2:11">
      <c r="B24" s="4"/>
      <c r="C24" s="187" t="s">
        <v>81</v>
      </c>
      <c r="D24" s="4">
        <v>11133</v>
      </c>
      <c r="E24" s="4">
        <v>11472</v>
      </c>
      <c r="F24" s="4">
        <v>11132</v>
      </c>
      <c r="G24" s="4">
        <v>12187</v>
      </c>
      <c r="H24" s="4">
        <v>13357</v>
      </c>
      <c r="I24" s="106">
        <f>'Income Statement'!I8*Assumptions!I27</f>
        <v>15988.393859263037</v>
      </c>
      <c r="J24" s="106">
        <f>'Income Statement'!J8*Assumptions!J27</f>
        <v>17058.277148570105</v>
      </c>
      <c r="K24" s="106">
        <f>'Income Statement'!K8*Assumptions!K27</f>
        <v>19414.110596855076</v>
      </c>
    </row>
    <row r="25" spans="2:11">
      <c r="B25" s="4"/>
      <c r="C25" s="187" t="s">
        <v>75</v>
      </c>
      <c r="D25" s="4">
        <v>38386</v>
      </c>
      <c r="E25" s="4">
        <v>44398</v>
      </c>
      <c r="F25" s="4">
        <v>46888</v>
      </c>
      <c r="G25" s="4">
        <v>49673</v>
      </c>
      <c r="H25" s="4">
        <v>53145</v>
      </c>
      <c r="I25" s="106">
        <f>'Income Statement'!I8*Assumptions!I28</f>
        <v>52860.352548328752</v>
      </c>
      <c r="J25" s="106">
        <f>'Income Statement'!J8*Assumptions!J28</f>
        <v>58406.3541807906</v>
      </c>
      <c r="K25" s="106">
        <f>'Income Statement'!K8*Assumptions!K28</f>
        <v>62154.34140524875</v>
      </c>
    </row>
    <row r="26" spans="2:11">
      <c r="B26" s="4"/>
      <c r="C26" s="187" t="s">
        <v>76</v>
      </c>
      <c r="D26" s="4">
        <v>6591</v>
      </c>
      <c r="E26" s="4">
        <v>7693</v>
      </c>
      <c r="F26" s="4">
        <v>10043</v>
      </c>
      <c r="G26" s="4">
        <v>11844</v>
      </c>
      <c r="H26" s="4">
        <v>11998</v>
      </c>
      <c r="I26" s="106">
        <f>'Income Statement'!I8*Assumptions!I29</f>
        <v>13187.93193690521</v>
      </c>
      <c r="J26" s="106">
        <f>'Income Statement'!J8*Assumptions!J29</f>
        <v>14070.703264593945</v>
      </c>
      <c r="K26" s="106">
        <f>'Income Statement'!K8*Assumptions!K29</f>
        <v>15442.761978221764</v>
      </c>
    </row>
    <row r="27" spans="2:11">
      <c r="B27" s="4"/>
      <c r="C27" s="187" t="s">
        <v>77</v>
      </c>
      <c r="D27" s="4">
        <v>5030</v>
      </c>
      <c r="E27" s="4">
        <v>5080</v>
      </c>
      <c r="F27" s="4">
        <v>5367</v>
      </c>
      <c r="G27" s="4">
        <v>5130</v>
      </c>
      <c r="H27" s="4">
        <v>5346</v>
      </c>
      <c r="I27" s="106">
        <f>'Income Statement'!I8*Assumptions!I30</f>
        <v>5582.5963287970799</v>
      </c>
      <c r="J27" s="106">
        <f>'Income Statement'!J8*Assumptions!J30</f>
        <v>5888.5924461731447</v>
      </c>
      <c r="K27" s="106">
        <f>'Income Statement'!K8*Assumptions!K30</f>
        <v>6273.5400159217033</v>
      </c>
    </row>
    <row r="28" spans="2:11">
      <c r="B28" s="4"/>
      <c r="C28" s="187" t="s">
        <v>78</v>
      </c>
      <c r="D28" s="4">
        <v>729</v>
      </c>
      <c r="E28" s="4">
        <v>1010</v>
      </c>
      <c r="F28" s="4">
        <v>1029</v>
      </c>
      <c r="G28" s="4">
        <v>1126</v>
      </c>
      <c r="H28" s="4">
        <v>1339</v>
      </c>
      <c r="I28" s="106">
        <f t="shared" ref="I28:K28" si="1">H28*(1+7%)</f>
        <v>1432.73</v>
      </c>
      <c r="J28" s="106">
        <f t="shared" si="1"/>
        <v>1533.0211000000002</v>
      </c>
      <c r="K28" s="106">
        <f t="shared" si="1"/>
        <v>1640.3325770000004</v>
      </c>
    </row>
    <row r="29" spans="2:11">
      <c r="B29" s="4"/>
      <c r="C29" s="187" t="s">
        <v>82</v>
      </c>
      <c r="D29" s="4">
        <v>8492</v>
      </c>
      <c r="E29" s="4">
        <v>10861</v>
      </c>
      <c r="F29" s="4">
        <v>15007</v>
      </c>
      <c r="G29" s="4">
        <v>17520</v>
      </c>
      <c r="H29" s="4">
        <v>15939</v>
      </c>
      <c r="I29" s="106">
        <f>16741</f>
        <v>16741</v>
      </c>
      <c r="J29" s="106">
        <f>16741</f>
        <v>16741</v>
      </c>
      <c r="K29" s="106">
        <f>16741</f>
        <v>16741</v>
      </c>
    </row>
    <row r="30" spans="2:11">
      <c r="B30" s="4"/>
      <c r="C30" s="187" t="s">
        <v>83</v>
      </c>
      <c r="D30" s="4">
        <v>23178</v>
      </c>
      <c r="E30" s="4">
        <v>19123</v>
      </c>
      <c r="F30" s="4">
        <v>20871</v>
      </c>
      <c r="G30" s="4">
        <v>19265</v>
      </c>
      <c r="H30" s="4">
        <v>18457</v>
      </c>
      <c r="I30" s="106">
        <f>'Cash Flow Statement'!I46</f>
        <v>24942.459798960612</v>
      </c>
      <c r="J30" s="106">
        <f>'Cash Flow Statement'!J46</f>
        <v>20667.415970880662</v>
      </c>
      <c r="K30" s="106">
        <f>'Cash Flow Statement'!K46</f>
        <v>18253.004510737454</v>
      </c>
    </row>
    <row r="31" spans="2:11">
      <c r="B31" s="4"/>
      <c r="C31" s="187" t="s">
        <v>12</v>
      </c>
      <c r="G31" s="115" t="s">
        <v>84</v>
      </c>
      <c r="H31" s="4">
        <v>115</v>
      </c>
      <c r="I31" s="120"/>
      <c r="J31" s="120">
        <v>0</v>
      </c>
      <c r="K31" s="120">
        <v>0</v>
      </c>
    </row>
    <row r="32" spans="2:11">
      <c r="B32" s="4"/>
      <c r="C32" s="73"/>
      <c r="D32" s="70">
        <v>122192</v>
      </c>
      <c r="E32" s="70">
        <v>131102</v>
      </c>
      <c r="F32" s="70">
        <v>145387</v>
      </c>
      <c r="G32" s="70">
        <v>155722</v>
      </c>
      <c r="H32" s="70">
        <v>160112</v>
      </c>
      <c r="I32" s="114">
        <f>SUM(I23:I31)</f>
        <v>176349.32271458925</v>
      </c>
      <c r="J32" s="114">
        <f>SUM(J23:J31)</f>
        <v>184821.27789204041</v>
      </c>
      <c r="K32" s="114">
        <f>SUM(K23:K31)</f>
        <v>196829.06426682178</v>
      </c>
    </row>
    <row r="33" spans="2:11" ht="15.75" thickBot="1">
      <c r="B33" s="4"/>
      <c r="C33" s="34"/>
      <c r="D33" s="141"/>
      <c r="E33" s="141"/>
      <c r="F33" s="141"/>
      <c r="G33" s="141"/>
      <c r="H33" s="193">
        <f>H32/G32-1</f>
        <v>2.8191263919035148E-2</v>
      </c>
      <c r="I33" s="194">
        <f>I32/H32-1</f>
        <v>0.10141227837132294</v>
      </c>
      <c r="J33" s="194">
        <f t="shared" ref="J33" si="2">J32/I32-1</f>
        <v>4.804075823507703E-2</v>
      </c>
      <c r="K33" s="194">
        <f t="shared" ref="K33" si="3">K32/J32-1</f>
        <v>6.4969718377315244E-2</v>
      </c>
    </row>
    <row r="34" spans="2:11" ht="15.75" thickBot="1">
      <c r="B34" s="4"/>
      <c r="C34" s="74" t="s">
        <v>5</v>
      </c>
      <c r="D34" s="75">
        <v>324333</v>
      </c>
      <c r="E34" s="75">
        <v>351209</v>
      </c>
      <c r="F34" s="75">
        <v>381935</v>
      </c>
      <c r="G34" s="75">
        <v>409732</v>
      </c>
      <c r="H34" s="75">
        <v>422193</v>
      </c>
      <c r="I34" s="116">
        <f>I21+I32</f>
        <v>449353.82007686415</v>
      </c>
      <c r="J34" s="116">
        <f>J21+J32</f>
        <v>468717.46556893282</v>
      </c>
      <c r="K34" s="117">
        <f>K21+K32</f>
        <v>494529.20757051749</v>
      </c>
    </row>
    <row r="35" spans="2:11">
      <c r="B35" s="4"/>
      <c r="D35" s="4"/>
      <c r="E35" s="21"/>
      <c r="F35" s="21"/>
      <c r="G35" s="21"/>
      <c r="H35" s="193">
        <f t="shared" ref="H35:K35" si="4">H34/G34-1</f>
        <v>3.0412562357833961E-2</v>
      </c>
      <c r="I35" s="194">
        <f t="shared" si="4"/>
        <v>6.4332710577541974E-2</v>
      </c>
      <c r="J35" s="194">
        <f t="shared" si="4"/>
        <v>4.3092201794916241E-2</v>
      </c>
      <c r="K35" s="194">
        <f t="shared" si="4"/>
        <v>5.5068871756793092E-2</v>
      </c>
    </row>
    <row r="36" spans="2:11" ht="15.75">
      <c r="B36" s="4"/>
      <c r="C36" s="7" t="s">
        <v>85</v>
      </c>
      <c r="D36" s="4"/>
      <c r="E36" s="4"/>
      <c r="F36" s="4"/>
      <c r="G36" s="4"/>
      <c r="H36" s="4"/>
      <c r="I36" s="10"/>
      <c r="J36" s="10"/>
      <c r="K36" s="10"/>
    </row>
    <row r="37" spans="2:11">
      <c r="B37" s="4"/>
      <c r="C37" s="6" t="s">
        <v>86</v>
      </c>
      <c r="D37" s="4"/>
      <c r="E37" s="4"/>
      <c r="F37" s="4"/>
      <c r="G37" s="4"/>
      <c r="H37" s="4"/>
      <c r="I37" s="10"/>
      <c r="J37" s="10"/>
      <c r="K37" s="10"/>
    </row>
    <row r="38" spans="2:11">
      <c r="B38" s="4"/>
      <c r="C38" s="19" t="s">
        <v>87</v>
      </c>
      <c r="D38" s="4">
        <v>1191</v>
      </c>
      <c r="E38" s="4">
        <v>1218</v>
      </c>
      <c r="F38" s="4">
        <v>1283</v>
      </c>
      <c r="G38" s="4">
        <v>1283</v>
      </c>
      <c r="H38" s="4">
        <v>1283</v>
      </c>
      <c r="I38" s="106">
        <f t="shared" ref="I38:K39" si="5">H38</f>
        <v>1283</v>
      </c>
      <c r="J38" s="106">
        <f t="shared" si="5"/>
        <v>1283</v>
      </c>
      <c r="K38" s="106">
        <f t="shared" si="5"/>
        <v>1283</v>
      </c>
    </row>
    <row r="39" spans="2:11">
      <c r="B39" s="4"/>
      <c r="C39" s="19" t="s">
        <v>88</v>
      </c>
      <c r="D39" s="4">
        <v>12658</v>
      </c>
      <c r="E39" s="4">
        <v>14616</v>
      </c>
      <c r="F39" s="4">
        <v>14551</v>
      </c>
      <c r="G39" s="4">
        <v>14551</v>
      </c>
      <c r="H39" s="4">
        <v>14551</v>
      </c>
      <c r="I39" s="106">
        <f t="shared" si="5"/>
        <v>14551</v>
      </c>
      <c r="J39" s="106">
        <f t="shared" si="5"/>
        <v>14551</v>
      </c>
      <c r="K39" s="106">
        <f t="shared" si="5"/>
        <v>14551</v>
      </c>
    </row>
    <row r="40" spans="2:11">
      <c r="B40" s="4"/>
      <c r="C40" s="19" t="s">
        <v>7</v>
      </c>
      <c r="D40" s="4">
        <v>72341</v>
      </c>
      <c r="E40" s="4">
        <v>71197</v>
      </c>
      <c r="F40" s="4">
        <v>69039</v>
      </c>
      <c r="G40" s="4">
        <v>70446</v>
      </c>
      <c r="H40" s="4">
        <v>81367</v>
      </c>
      <c r="I40" s="106">
        <f>H40+'Income Statement'!I25-2334</f>
        <v>90713.539936280242</v>
      </c>
      <c r="J40" s="106">
        <f>I40+'Income Statement'!J25</f>
        <v>106825.61775431072</v>
      </c>
      <c r="K40" s="106">
        <f>J40+'Income Statement'!K25</f>
        <v>124143.50208874814</v>
      </c>
    </row>
    <row r="41" spans="2:11">
      <c r="B41" s="4"/>
      <c r="C41" s="19" t="s">
        <v>89</v>
      </c>
      <c r="D41" s="4">
        <v>-459</v>
      </c>
      <c r="E41" s="4">
        <v>-2081</v>
      </c>
      <c r="F41" s="4">
        <v>-4374</v>
      </c>
      <c r="G41" s="4">
        <v>-1158</v>
      </c>
      <c r="H41" s="4">
        <v>560</v>
      </c>
      <c r="I41" s="106">
        <f>H41</f>
        <v>560</v>
      </c>
      <c r="J41" s="106">
        <f>I41</f>
        <v>560</v>
      </c>
      <c r="K41" s="106">
        <f>J41</f>
        <v>560</v>
      </c>
    </row>
    <row r="42" spans="2:11">
      <c r="B42" s="4"/>
      <c r="C42" s="187" t="s">
        <v>90</v>
      </c>
      <c r="D42" s="4">
        <v>2004</v>
      </c>
      <c r="E42" s="4">
        <v>5041</v>
      </c>
      <c r="F42" s="4">
        <v>7560</v>
      </c>
      <c r="G42" s="4">
        <v>7567</v>
      </c>
      <c r="H42" s="4">
        <v>11088</v>
      </c>
      <c r="I42" s="106">
        <v>12565</v>
      </c>
      <c r="J42" s="106">
        <f>I42</f>
        <v>12565</v>
      </c>
      <c r="K42" s="106">
        <f>J42</f>
        <v>12565</v>
      </c>
    </row>
    <row r="43" spans="2:11">
      <c r="B43" s="4"/>
      <c r="C43" s="188" t="s">
        <v>91</v>
      </c>
      <c r="D43" s="70">
        <v>87733</v>
      </c>
      <c r="E43" s="70">
        <v>89991</v>
      </c>
      <c r="F43" s="70">
        <v>88060</v>
      </c>
      <c r="G43" s="70">
        <v>92689</v>
      </c>
      <c r="H43" s="70">
        <v>108849</v>
      </c>
      <c r="I43" s="114">
        <f>SUM(I38:I42)</f>
        <v>119672.53993628024</v>
      </c>
      <c r="J43" s="114">
        <f>SUM(J38:J42)</f>
        <v>135784.61775431072</v>
      </c>
      <c r="K43" s="114">
        <f>SUM(K38:K42)</f>
        <v>153102.50208874815</v>
      </c>
    </row>
    <row r="44" spans="2:11">
      <c r="B44" s="4"/>
      <c r="C44" s="189" t="s">
        <v>54</v>
      </c>
      <c r="D44" s="4">
        <v>2304</v>
      </c>
      <c r="E44" s="4">
        <v>198</v>
      </c>
      <c r="F44" s="4">
        <v>210</v>
      </c>
      <c r="G44" s="4">
        <v>221</v>
      </c>
      <c r="H44" s="4">
        <v>229</v>
      </c>
      <c r="I44" s="10">
        <v>219</v>
      </c>
      <c r="J44" s="10">
        <v>219</v>
      </c>
      <c r="K44" s="10">
        <v>219</v>
      </c>
    </row>
    <row r="45" spans="2:11">
      <c r="B45" s="4"/>
      <c r="C45" s="190"/>
      <c r="D45" s="76">
        <v>90037</v>
      </c>
      <c r="E45" s="76">
        <v>90189</v>
      </c>
      <c r="F45" s="76">
        <v>88270</v>
      </c>
      <c r="G45" s="76">
        <v>92910</v>
      </c>
      <c r="H45" s="76">
        <v>109077</v>
      </c>
      <c r="I45" s="118">
        <f>I43+I44</f>
        <v>119891.53993628024</v>
      </c>
      <c r="J45" s="118">
        <f>J43+J44</f>
        <v>136003.61775431072</v>
      </c>
      <c r="K45" s="119">
        <f>K43+K44</f>
        <v>153321.50208874815</v>
      </c>
    </row>
    <row r="46" spans="2:11">
      <c r="B46" s="4"/>
      <c r="C46" s="191" t="s">
        <v>92</v>
      </c>
      <c r="D46" s="4"/>
      <c r="E46" s="4"/>
      <c r="F46" s="4"/>
      <c r="G46" s="4"/>
      <c r="H46" s="193">
        <f t="shared" ref="H46" si="6">H45/G45-1</f>
        <v>0.17400710364869232</v>
      </c>
      <c r="I46" s="194">
        <f t="shared" ref="I46" si="7">I45/H45-1</f>
        <v>9.9145923854526918E-2</v>
      </c>
      <c r="J46" s="194">
        <f t="shared" ref="J46" si="8">J45/I45-1</f>
        <v>0.1343887802808581</v>
      </c>
      <c r="K46" s="194">
        <f t="shared" ref="K46" si="9">K45/J45-1</f>
        <v>0.12733399758322639</v>
      </c>
    </row>
    <row r="47" spans="2:11">
      <c r="B47" s="4"/>
      <c r="C47" s="187" t="s">
        <v>93</v>
      </c>
      <c r="D47" s="4">
        <v>61517</v>
      </c>
      <c r="E47" s="4">
        <v>68416</v>
      </c>
      <c r="F47" s="4">
        <v>73292</v>
      </c>
      <c r="G47" s="4">
        <v>66358</v>
      </c>
      <c r="H47" s="4">
        <v>81628</v>
      </c>
      <c r="I47" s="106">
        <f>H47*1.09</f>
        <v>88974.52</v>
      </c>
      <c r="J47" s="106">
        <f>I47*(1-0.03)</f>
        <v>86305.284400000004</v>
      </c>
      <c r="K47" s="106">
        <f>J47</f>
        <v>86305.284400000004</v>
      </c>
    </row>
    <row r="48" spans="2:11">
      <c r="B48" s="4"/>
      <c r="C48" s="187" t="s">
        <v>94</v>
      </c>
      <c r="D48" s="4">
        <v>2305</v>
      </c>
      <c r="E48" s="4">
        <v>3954</v>
      </c>
      <c r="F48" s="4">
        <v>5901</v>
      </c>
      <c r="G48" s="4">
        <v>4488</v>
      </c>
      <c r="H48" s="4">
        <v>2665</v>
      </c>
      <c r="I48" s="106">
        <f t="shared" ref="I48:K48" si="10">H48</f>
        <v>2665</v>
      </c>
      <c r="J48" s="106">
        <f t="shared" si="10"/>
        <v>2665</v>
      </c>
      <c r="K48" s="106">
        <f t="shared" si="10"/>
        <v>2665</v>
      </c>
    </row>
    <row r="49" spans="2:11">
      <c r="B49" s="4"/>
      <c r="C49" s="187" t="s">
        <v>6</v>
      </c>
      <c r="D49" s="4">
        <v>4527</v>
      </c>
      <c r="E49" s="4">
        <v>4238</v>
      </c>
      <c r="F49" s="4">
        <v>4905</v>
      </c>
      <c r="G49" s="4">
        <v>5664</v>
      </c>
      <c r="H49" s="4">
        <v>6199</v>
      </c>
      <c r="I49" s="106">
        <f>-'Income Statement'!I9*Assumptions!I37</f>
        <v>6371.2337058719659</v>
      </c>
      <c r="J49" s="106">
        <f>-'Income Statement'!J9*Assumptions!J37</f>
        <v>6774.1852972604811</v>
      </c>
      <c r="K49" s="106">
        <f>-'Income Statement'!K9*Assumptions!K37</f>
        <v>7188.3717166187353</v>
      </c>
    </row>
    <row r="50" spans="2:11">
      <c r="B50" s="4"/>
      <c r="C50" s="187" t="s">
        <v>95</v>
      </c>
      <c r="D50" s="4">
        <v>7894</v>
      </c>
      <c r="E50" s="4">
        <v>4774</v>
      </c>
      <c r="F50" s="4">
        <v>4433</v>
      </c>
      <c r="G50" s="4">
        <v>4745</v>
      </c>
      <c r="H50" s="4">
        <v>5636</v>
      </c>
      <c r="I50" s="106">
        <f>H50*1.02</f>
        <v>5748.72</v>
      </c>
      <c r="J50" s="106">
        <f>I50*1.02</f>
        <v>5863.6944000000003</v>
      </c>
      <c r="K50" s="106">
        <f>J50*1.02</f>
        <v>5980.968288</v>
      </c>
    </row>
    <row r="51" spans="2:11">
      <c r="B51" s="4"/>
      <c r="C51" s="187" t="s">
        <v>96</v>
      </c>
      <c r="D51" s="4">
        <v>21774</v>
      </c>
      <c r="E51" s="4">
        <v>29806</v>
      </c>
      <c r="F51" s="4">
        <v>27535</v>
      </c>
      <c r="G51" s="4">
        <v>33012</v>
      </c>
      <c r="H51" s="4">
        <v>32730</v>
      </c>
      <c r="I51" s="10">
        <v>33249</v>
      </c>
      <c r="J51" s="10">
        <v>33249</v>
      </c>
      <c r="K51" s="10">
        <v>33249</v>
      </c>
    </row>
    <row r="52" spans="2:11">
      <c r="B52" s="4"/>
      <c r="C52" s="187" t="s">
        <v>97</v>
      </c>
      <c r="D52" s="4">
        <v>3674</v>
      </c>
      <c r="E52" s="4">
        <v>3215</v>
      </c>
      <c r="F52" s="4">
        <v>3940</v>
      </c>
      <c r="G52" s="4">
        <v>3556</v>
      </c>
      <c r="H52" s="4">
        <v>3030</v>
      </c>
      <c r="I52" s="106">
        <f t="shared" ref="I52:K53" si="11">H52</f>
        <v>3030</v>
      </c>
      <c r="J52" s="106">
        <f t="shared" si="11"/>
        <v>3030</v>
      </c>
      <c r="K52" s="106">
        <f t="shared" si="11"/>
        <v>3030</v>
      </c>
    </row>
    <row r="53" spans="2:11">
      <c r="B53" s="4"/>
      <c r="C53" s="187" t="s">
        <v>98</v>
      </c>
      <c r="D53" s="4">
        <v>13981</v>
      </c>
      <c r="E53" s="4">
        <v>15910</v>
      </c>
      <c r="F53" s="4">
        <v>25170</v>
      </c>
      <c r="G53" s="4">
        <v>21482</v>
      </c>
      <c r="H53" s="4">
        <v>20839</v>
      </c>
      <c r="I53" s="106">
        <f t="shared" si="11"/>
        <v>20839</v>
      </c>
      <c r="J53" s="106">
        <f t="shared" si="11"/>
        <v>20839</v>
      </c>
      <c r="K53" s="106">
        <f t="shared" si="11"/>
        <v>20839</v>
      </c>
    </row>
    <row r="54" spans="2:11">
      <c r="B54" s="4"/>
      <c r="C54" s="188"/>
      <c r="D54" s="70">
        <v>115672</v>
      </c>
      <c r="E54" s="70">
        <v>130314</v>
      </c>
      <c r="F54" s="70">
        <v>145175</v>
      </c>
      <c r="G54" s="70">
        <v>139306</v>
      </c>
      <c r="H54" s="70">
        <v>152726</v>
      </c>
      <c r="I54" s="118">
        <f>SUM(I47:I53)</f>
        <v>160877.47370587196</v>
      </c>
      <c r="J54" s="118">
        <f>SUM(J47:J53)</f>
        <v>158726.16409726048</v>
      </c>
      <c r="K54" s="119">
        <f>SUM(K47:K53)</f>
        <v>159257.62440461875</v>
      </c>
    </row>
    <row r="55" spans="2:11">
      <c r="B55" s="4"/>
      <c r="C55" s="191" t="s">
        <v>99</v>
      </c>
      <c r="D55" s="4"/>
      <c r="E55" s="4"/>
      <c r="F55" s="4"/>
      <c r="G55" s="4"/>
      <c r="H55" s="193">
        <f>H54/G54-1</f>
        <v>9.6334687666001395E-2</v>
      </c>
      <c r="I55" s="194">
        <f>I54/H54-1</f>
        <v>5.337318927931034E-2</v>
      </c>
      <c r="J55" s="194">
        <f t="shared" ref="J55" si="12">J54/I54-1</f>
        <v>-1.3372348278819057E-2</v>
      </c>
      <c r="K55" s="194">
        <f t="shared" ref="K55" si="13">K54/J54-1</f>
        <v>3.3482841999041835E-3</v>
      </c>
    </row>
    <row r="56" spans="2:11">
      <c r="B56" s="4"/>
      <c r="C56" s="187" t="s">
        <v>100</v>
      </c>
      <c r="D56" s="4">
        <v>3638</v>
      </c>
      <c r="E56" s="4">
        <v>3703</v>
      </c>
      <c r="F56" s="4">
        <v>3933</v>
      </c>
      <c r="G56" s="4">
        <v>3849</v>
      </c>
      <c r="H56" s="4">
        <v>3795</v>
      </c>
      <c r="I56" s="106">
        <f>3456</f>
        <v>3456</v>
      </c>
      <c r="J56" s="106">
        <f>3456</f>
        <v>3456</v>
      </c>
      <c r="K56" s="106">
        <f>3456</f>
        <v>3456</v>
      </c>
    </row>
    <row r="57" spans="2:11">
      <c r="B57" s="4"/>
      <c r="C57" s="187" t="s">
        <v>93</v>
      </c>
      <c r="D57" s="4">
        <v>59987</v>
      </c>
      <c r="E57" s="4">
        <v>65564</v>
      </c>
      <c r="F57" s="4">
        <v>72313</v>
      </c>
      <c r="G57" s="4">
        <v>88461</v>
      </c>
      <c r="H57" s="4">
        <v>81844</v>
      </c>
      <c r="I57" s="106">
        <f t="shared" ref="I57:K57" si="14">H57*1.05</f>
        <v>85936.2</v>
      </c>
      <c r="J57" s="106">
        <f t="shared" si="14"/>
        <v>90233.01</v>
      </c>
      <c r="K57" s="106">
        <f t="shared" si="14"/>
        <v>94744.660499999998</v>
      </c>
    </row>
    <row r="58" spans="2:11">
      <c r="B58" s="4"/>
      <c r="C58" s="187" t="s">
        <v>101</v>
      </c>
      <c r="D58" s="4">
        <v>18024</v>
      </c>
      <c r="E58" s="4">
        <v>19530</v>
      </c>
      <c r="F58" s="4">
        <v>20460</v>
      </c>
      <c r="G58" s="4">
        <v>22794</v>
      </c>
      <c r="H58" s="4">
        <v>23046</v>
      </c>
      <c r="I58" s="106">
        <f>-'Income Statement'!I9*Assumptions!I40</f>
        <v>23672.021418507753</v>
      </c>
      <c r="J58" s="106">
        <f>-'Income Statement'!J9*Assumptions!J40</f>
        <v>25176.814130876512</v>
      </c>
      <c r="K58" s="106">
        <f>-'Income Statement'!K9*Assumptions!K40</f>
        <v>26712.128386050765</v>
      </c>
    </row>
    <row r="59" spans="2:11">
      <c r="B59" s="4"/>
      <c r="C59" s="187" t="s">
        <v>102</v>
      </c>
      <c r="D59" s="4">
        <v>218</v>
      </c>
      <c r="E59" s="4">
        <v>256</v>
      </c>
      <c r="F59" s="4">
        <v>330</v>
      </c>
      <c r="G59" s="4">
        <v>500</v>
      </c>
      <c r="H59" s="4">
        <v>430</v>
      </c>
      <c r="I59" s="106">
        <f>H59</f>
        <v>430</v>
      </c>
      <c r="J59" s="106">
        <f>I59</f>
        <v>430</v>
      </c>
      <c r="K59" s="106">
        <f>J59</f>
        <v>430</v>
      </c>
    </row>
    <row r="60" spans="2:11">
      <c r="B60" s="4"/>
      <c r="C60" s="187" t="s">
        <v>94</v>
      </c>
      <c r="D60" s="4">
        <v>4526</v>
      </c>
      <c r="E60" s="4">
        <v>7643</v>
      </c>
      <c r="F60" s="4">
        <v>10350</v>
      </c>
      <c r="G60" s="4">
        <v>9438</v>
      </c>
      <c r="H60" s="4">
        <v>8570</v>
      </c>
      <c r="I60" s="106">
        <f>H60*1.1</f>
        <v>9427</v>
      </c>
      <c r="J60" s="106">
        <f>I60*1.05</f>
        <v>9898.35</v>
      </c>
      <c r="K60" s="106">
        <f>J60*1.05</f>
        <v>10393.2675</v>
      </c>
    </row>
    <row r="61" spans="2:11">
      <c r="B61" s="4"/>
      <c r="C61" s="187" t="s">
        <v>6</v>
      </c>
      <c r="D61" s="4">
        <v>11004</v>
      </c>
      <c r="E61" s="4">
        <v>14143</v>
      </c>
      <c r="F61" s="4">
        <v>14014</v>
      </c>
      <c r="G61" s="4">
        <v>15461</v>
      </c>
      <c r="H61" s="4">
        <v>15961</v>
      </c>
      <c r="I61" s="106">
        <f>-'Income Statement'!I9*Assumptions!I41</f>
        <v>18849.735016204144</v>
      </c>
      <c r="J61" s="106">
        <f>-'Income Statement'!J9*Assumptions!J41</f>
        <v>17906.317086485149</v>
      </c>
      <c r="K61" s="106">
        <f>-'Income Statement'!K9*Assumptions!K41</f>
        <v>19249.822566099898</v>
      </c>
    </row>
    <row r="62" spans="2:11">
      <c r="B62" s="4"/>
      <c r="C62" s="187" t="s">
        <v>97</v>
      </c>
      <c r="D62" s="4">
        <v>2869</v>
      </c>
      <c r="E62" s="4">
        <v>2791</v>
      </c>
      <c r="F62" s="4">
        <v>1301</v>
      </c>
      <c r="G62" s="4">
        <v>1301</v>
      </c>
      <c r="H62" s="4">
        <v>1397</v>
      </c>
      <c r="I62" s="106">
        <f>H62*1.05</f>
        <v>1466.8500000000001</v>
      </c>
      <c r="J62" s="106">
        <f>I62*1.05</f>
        <v>1540.1925000000001</v>
      </c>
      <c r="K62" s="106">
        <f>J62*1.05</f>
        <v>1617.2021250000003</v>
      </c>
    </row>
    <row r="63" spans="2:11">
      <c r="B63" s="4"/>
      <c r="C63" s="187" t="s">
        <v>98</v>
      </c>
      <c r="D63" s="4">
        <v>18360</v>
      </c>
      <c r="E63" s="4">
        <v>17075</v>
      </c>
      <c r="F63" s="4">
        <v>25788</v>
      </c>
      <c r="G63" s="4">
        <v>35711</v>
      </c>
      <c r="H63" s="4">
        <v>25347</v>
      </c>
      <c r="I63" s="106">
        <f>H63</f>
        <v>25347</v>
      </c>
      <c r="J63" s="106">
        <f>I63</f>
        <v>25347</v>
      </c>
      <c r="K63" s="106">
        <f>J63</f>
        <v>25347</v>
      </c>
    </row>
    <row r="64" spans="2:11">
      <c r="B64" s="4"/>
      <c r="C64" s="192"/>
      <c r="D64" s="70">
        <v>118625</v>
      </c>
      <c r="E64" s="70">
        <v>130706</v>
      </c>
      <c r="F64" s="70">
        <v>148489</v>
      </c>
      <c r="G64" s="70">
        <v>177515</v>
      </c>
      <c r="H64" s="70">
        <v>160389</v>
      </c>
      <c r="I64" s="114">
        <f>SUM(I56:I63)</f>
        <v>168584.80643471191</v>
      </c>
      <c r="J64" s="114">
        <f>SUM(J56:J63)</f>
        <v>173987.68371736168</v>
      </c>
      <c r="K64" s="114">
        <f>SUM(K56:K63)</f>
        <v>181950.08107715068</v>
      </c>
    </row>
    <row r="65" spans="2:11" ht="15.75" thickBot="1">
      <c r="B65" s="4"/>
      <c r="C65" s="34"/>
      <c r="D65" s="141"/>
      <c r="E65" s="141"/>
      <c r="F65" s="141"/>
      <c r="G65" s="141"/>
      <c r="H65" s="193">
        <f>H64/G64-1</f>
        <v>-9.6476354110920259E-2</v>
      </c>
      <c r="I65" s="194">
        <f>I64/H64-1</f>
        <v>5.1099554425253046E-2</v>
      </c>
      <c r="J65" s="194">
        <f t="shared" ref="J65" si="15">J64/I64-1</f>
        <v>3.2048423561479966E-2</v>
      </c>
      <c r="K65" s="194">
        <f t="shared" ref="K65" si="16">K64/J64-1</f>
        <v>4.5764143700675497E-2</v>
      </c>
    </row>
    <row r="66" spans="2:11" ht="15.75" thickBot="1">
      <c r="C66" s="74" t="s">
        <v>103</v>
      </c>
      <c r="D66" s="75">
        <v>324333</v>
      </c>
      <c r="E66" s="75">
        <v>351209</v>
      </c>
      <c r="F66" s="75">
        <v>381935</v>
      </c>
      <c r="G66" s="75">
        <v>409732</v>
      </c>
      <c r="H66" s="75">
        <v>422193</v>
      </c>
      <c r="I66" s="116">
        <f>I45+I54+I64</f>
        <v>449353.8200768641</v>
      </c>
      <c r="J66" s="116">
        <f>J45+J54+J64</f>
        <v>468717.46556893282</v>
      </c>
      <c r="K66" s="117">
        <f>K45+K54+K64</f>
        <v>494529.20757051755</v>
      </c>
    </row>
    <row r="67" spans="2:11">
      <c r="D67" s="4"/>
      <c r="E67" s="4"/>
      <c r="F67" s="4"/>
      <c r="G67" s="4"/>
      <c r="H67" s="4"/>
      <c r="I67" s="10"/>
      <c r="J67" s="10"/>
      <c r="K67" s="10"/>
    </row>
    <row r="68" spans="2:11">
      <c r="D68" s="4"/>
      <c r="E68" s="4"/>
      <c r="F68" s="4"/>
      <c r="G68" s="4"/>
      <c r="H68" s="4"/>
      <c r="I68" s="106"/>
      <c r="J68" s="106"/>
      <c r="K68" s="106"/>
    </row>
    <row r="69" spans="2:11">
      <c r="C69" s="13" t="s">
        <v>181</v>
      </c>
      <c r="D69" s="4">
        <f t="shared" ref="D69:K69" si="17">D34-D66</f>
        <v>0</v>
      </c>
      <c r="E69" s="4">
        <f t="shared" si="17"/>
        <v>0</v>
      </c>
      <c r="F69" s="4">
        <f t="shared" si="17"/>
        <v>0</v>
      </c>
      <c r="G69" s="4">
        <f t="shared" si="17"/>
        <v>0</v>
      </c>
      <c r="H69" s="4">
        <f t="shared" si="17"/>
        <v>0</v>
      </c>
      <c r="I69" s="106">
        <f t="shared" si="17"/>
        <v>0</v>
      </c>
      <c r="J69" s="106">
        <f t="shared" si="17"/>
        <v>0</v>
      </c>
      <c r="K69" s="106">
        <f t="shared" si="17"/>
        <v>0</v>
      </c>
    </row>
    <row r="70" spans="2:11">
      <c r="C70" s="57"/>
      <c r="D70" s="4"/>
      <c r="E70" s="4"/>
      <c r="F70" s="4"/>
      <c r="G70" s="4"/>
      <c r="H70" s="4"/>
      <c r="I70" s="106"/>
      <c r="J70" s="106"/>
      <c r="K70" s="106"/>
    </row>
    <row r="71" spans="2:11" s="2" customFormat="1" ht="15" customHeight="1"/>
    <row r="72" spans="2:11" hidden="1">
      <c r="D72" s="4"/>
      <c r="E72" s="4"/>
      <c r="F72" s="4"/>
      <c r="G72" s="4"/>
      <c r="H72" s="4"/>
      <c r="I72" s="10"/>
      <c r="J72" s="10"/>
      <c r="K72" s="10"/>
    </row>
    <row r="73" spans="2:11" hidden="1">
      <c r="D73" s="4"/>
      <c r="E73" s="4"/>
      <c r="F73" s="4"/>
      <c r="G73" s="4"/>
      <c r="H73" s="4"/>
      <c r="I73" s="10"/>
      <c r="J73" s="10"/>
      <c r="K73" s="10"/>
    </row>
    <row r="74" spans="2:11" hidden="1">
      <c r="D74" s="4"/>
      <c r="E74" s="4"/>
      <c r="F74" s="4"/>
      <c r="G74" s="4"/>
      <c r="H74" s="4"/>
      <c r="I74" s="10"/>
      <c r="J74" s="10"/>
      <c r="K74" s="10"/>
    </row>
    <row r="75" spans="2:11" hidden="1">
      <c r="D75" s="4"/>
      <c r="E75" s="4"/>
      <c r="F75" s="4"/>
      <c r="G75" s="4"/>
      <c r="H75" s="4"/>
      <c r="I75" s="10"/>
      <c r="J75" s="10"/>
      <c r="K75" s="10"/>
    </row>
    <row r="76" spans="2:11" hidden="1">
      <c r="D76" s="4"/>
      <c r="E76" s="4"/>
      <c r="F76" s="4"/>
      <c r="G76" s="4"/>
      <c r="H76" s="4"/>
      <c r="I76" s="10"/>
      <c r="J76" s="10"/>
      <c r="K76" s="10"/>
    </row>
    <row r="77" spans="2:11" hidden="1">
      <c r="I77" s="10"/>
      <c r="J77" s="10"/>
      <c r="K77" s="10"/>
    </row>
    <row r="78" spans="2:11" hidden="1">
      <c r="I78" s="10"/>
      <c r="J78" s="10"/>
      <c r="K78" s="10"/>
    </row>
    <row r="79" spans="2:11" hidden="1">
      <c r="I79" s="10"/>
      <c r="J79" s="10"/>
      <c r="K79" s="10"/>
    </row>
    <row r="80" spans="2:11" hidden="1">
      <c r="I80" s="10"/>
      <c r="J80" s="10"/>
      <c r="K80" s="10"/>
    </row>
    <row r="81" spans="9:11" hidden="1">
      <c r="I81" s="10"/>
      <c r="J81" s="10"/>
      <c r="K81" s="10"/>
    </row>
    <row r="82" spans="9:11" hidden="1">
      <c r="I82" s="10"/>
      <c r="J82" s="10"/>
      <c r="K82" s="10"/>
    </row>
    <row r="83" spans="9:11" hidden="1">
      <c r="I83" s="10"/>
      <c r="J83" s="10"/>
      <c r="K83" s="10"/>
    </row>
    <row r="84" spans="9:11" hidden="1">
      <c r="I84" s="10"/>
      <c r="J84" s="10"/>
      <c r="K84" s="10"/>
    </row>
    <row r="85" spans="9:11" hidden="1">
      <c r="I85" s="10"/>
      <c r="J85" s="10"/>
      <c r="K85" s="10"/>
    </row>
    <row r="86" spans="9:11" hidden="1">
      <c r="I86" s="10"/>
      <c r="J86" s="10"/>
      <c r="K86" s="10"/>
    </row>
    <row r="87" spans="9:11" hidden="1">
      <c r="I87" s="10"/>
      <c r="J87" s="10"/>
      <c r="K87" s="10"/>
    </row>
    <row r="88" spans="9:11" hidden="1">
      <c r="I88" s="10"/>
      <c r="J88" s="10"/>
      <c r="K88" s="10"/>
    </row>
    <row r="89" spans="9:11" hidden="1">
      <c r="I89" s="10"/>
      <c r="J89" s="10"/>
      <c r="K89" s="10"/>
    </row>
    <row r="90" spans="9:11" hidden="1">
      <c r="I90" s="10"/>
      <c r="J90" s="10"/>
      <c r="K90" s="10"/>
    </row>
    <row r="91" spans="9:11" hidden="1">
      <c r="I91" s="10"/>
      <c r="J91" s="10"/>
      <c r="K91" s="10"/>
    </row>
    <row r="92" spans="9:11" hidden="1">
      <c r="I92" s="10"/>
      <c r="J92" s="10"/>
      <c r="K92" s="10"/>
    </row>
    <row r="93" spans="9:11" hidden="1">
      <c r="I93" s="10"/>
      <c r="J93" s="10"/>
      <c r="K93" s="10"/>
    </row>
    <row r="94" spans="9:11" hidden="1"/>
    <row r="95" spans="9:11" hidden="1"/>
    <row r="96" spans="9:11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mergeCells count="2">
    <mergeCell ref="D5:H5"/>
    <mergeCell ref="I5:K5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05"/>
  <sheetViews>
    <sheetView showGridLines="0" topLeftCell="A93" workbookViewId="0">
      <selection activeCell="B96" sqref="B96"/>
    </sheetView>
  </sheetViews>
  <sheetFormatPr defaultColWidth="0" defaultRowHeight="15" zeroHeight="1"/>
  <cols>
    <col min="1" max="1" width="3.7109375" style="2" customWidth="1"/>
    <col min="2" max="2" width="9.140625" style="13" customWidth="1"/>
    <col min="3" max="3" width="42.28515625" style="13" customWidth="1"/>
    <col min="4" max="6" width="9.140625" style="13" customWidth="1"/>
    <col min="7" max="7" width="21.5703125" style="13" bestFit="1" customWidth="1"/>
    <col min="8" max="9" width="9.140625" style="13" customWidth="1"/>
    <col min="10" max="10" width="3.7109375" style="2" customWidth="1"/>
    <col min="11" max="12" width="0" style="13" hidden="1" customWidth="1"/>
    <col min="13" max="16384" width="9.140625" style="13" hidden="1"/>
  </cols>
  <sheetData>
    <row r="1" spans="2:12" s="2" customFormat="1" ht="15" customHeight="1"/>
    <row r="2" spans="2:12" ht="17.25">
      <c r="B2" s="197" t="str">
        <f>Company_Name</f>
        <v>Volkswagen Aktiengesellschaft</v>
      </c>
      <c r="C2" s="197"/>
      <c r="D2" s="59"/>
      <c r="E2" s="59"/>
      <c r="F2" s="59"/>
      <c r="G2" s="59"/>
      <c r="H2" s="59"/>
      <c r="I2" s="59"/>
    </row>
    <row r="3" spans="2:12">
      <c r="B3" s="60" t="s">
        <v>18</v>
      </c>
      <c r="C3" s="59"/>
      <c r="D3" s="59"/>
      <c r="E3" s="59"/>
      <c r="F3" s="59"/>
      <c r="G3" s="59"/>
      <c r="H3" s="59"/>
      <c r="I3" s="59"/>
    </row>
    <row r="4" spans="2:12">
      <c r="B4" s="198"/>
      <c r="C4" s="198"/>
      <c r="D4" s="59"/>
      <c r="E4" s="59"/>
      <c r="F4" s="59"/>
      <c r="G4" s="59"/>
      <c r="H4" s="59"/>
      <c r="I4" s="59"/>
    </row>
    <row r="5" spans="2:12">
      <c r="B5" s="59"/>
      <c r="C5" s="59"/>
      <c r="D5" s="195" t="s">
        <v>4</v>
      </c>
      <c r="E5" s="195"/>
      <c r="F5" s="195"/>
      <c r="G5" s="195" t="s">
        <v>17</v>
      </c>
      <c r="H5" s="195"/>
      <c r="I5" s="195"/>
    </row>
    <row r="6" spans="2:12" ht="18" customHeight="1">
      <c r="B6" s="199" t="str">
        <f>Currency</f>
        <v>€ million</v>
      </c>
      <c r="C6" s="199"/>
      <c r="D6" s="63">
        <f>EDATE(E6,-12)</f>
        <v>42369</v>
      </c>
      <c r="E6" s="63">
        <f>EDATE(F6, -12)</f>
        <v>42735</v>
      </c>
      <c r="F6" s="63">
        <f>Last_Financial_Period</f>
        <v>43100</v>
      </c>
      <c r="G6" s="64">
        <f>EDATE(F6,12)</f>
        <v>43465</v>
      </c>
      <c r="H6" s="64">
        <f>EDATE(G6,12)</f>
        <v>43830</v>
      </c>
      <c r="I6" s="64">
        <f>EDATE(H6,12)</f>
        <v>44196</v>
      </c>
      <c r="J6" s="3"/>
      <c r="K6" s="1"/>
      <c r="L6" s="1"/>
    </row>
    <row r="7" spans="2:12">
      <c r="G7" s="10"/>
      <c r="H7" s="10"/>
      <c r="I7" s="10"/>
    </row>
    <row r="8" spans="2:12" ht="15.75" thickBot="1">
      <c r="B8" s="127" t="s">
        <v>19</v>
      </c>
      <c r="D8" s="22" t="s">
        <v>20</v>
      </c>
      <c r="E8" s="6" t="s">
        <v>21</v>
      </c>
      <c r="G8" s="10"/>
      <c r="H8" s="10"/>
      <c r="I8" s="10"/>
    </row>
    <row r="9" spans="2:12">
      <c r="C9" s="23" t="s">
        <v>22</v>
      </c>
      <c r="D9" s="25"/>
      <c r="E9" s="24"/>
      <c r="F9" s="26"/>
      <c r="G9" s="10"/>
      <c r="H9" s="10"/>
      <c r="I9" s="10"/>
    </row>
    <row r="10" spans="2:12">
      <c r="C10" s="27" t="s">
        <v>182</v>
      </c>
      <c r="D10" s="28" t="s">
        <v>186</v>
      </c>
      <c r="E10" s="29">
        <f>1/AVERAGE(20,50)</f>
        <v>2.8571428571428571E-2</v>
      </c>
      <c r="F10" s="30"/>
      <c r="G10" s="10"/>
      <c r="H10" s="10"/>
      <c r="I10" s="10"/>
    </row>
    <row r="11" spans="2:12">
      <c r="C11" s="27" t="s">
        <v>183</v>
      </c>
      <c r="D11" s="28" t="s">
        <v>187</v>
      </c>
      <c r="E11" s="29">
        <f>1/AVERAGE(10,20)</f>
        <v>6.6666666666666666E-2</v>
      </c>
      <c r="F11" s="30"/>
      <c r="G11" s="10"/>
      <c r="H11" s="10"/>
      <c r="I11" s="10"/>
    </row>
    <row r="12" spans="2:12">
      <c r="C12" s="27" t="s">
        <v>184</v>
      </c>
      <c r="D12" s="28" t="s">
        <v>188</v>
      </c>
      <c r="E12" s="29">
        <f>1/AVERAGE(6,12)</f>
        <v>0.1111111111111111</v>
      </c>
      <c r="F12" s="30"/>
      <c r="G12" s="10"/>
      <c r="H12" s="10"/>
      <c r="I12" s="10"/>
    </row>
    <row r="13" spans="2:12">
      <c r="C13" s="27" t="s">
        <v>185</v>
      </c>
      <c r="D13" s="28" t="s">
        <v>189</v>
      </c>
      <c r="E13" s="29">
        <f>1/AVERAGE(3,15)</f>
        <v>0.1111111111111111</v>
      </c>
      <c r="F13" s="30"/>
      <c r="G13" s="10"/>
      <c r="H13" s="10"/>
      <c r="I13" s="10"/>
    </row>
    <row r="14" spans="2:12" ht="15.75" thickBot="1">
      <c r="C14" s="31"/>
      <c r="D14" s="32"/>
      <c r="E14" s="32"/>
      <c r="F14" s="33"/>
      <c r="G14" s="10"/>
      <c r="H14" s="10"/>
      <c r="I14" s="10"/>
    </row>
    <row r="15" spans="2:12">
      <c r="G15" s="10"/>
      <c r="H15" s="10"/>
      <c r="I15" s="10"/>
    </row>
    <row r="16" spans="2:12">
      <c r="C16" s="6" t="s">
        <v>190</v>
      </c>
      <c r="D16" s="34"/>
      <c r="E16" s="34"/>
      <c r="F16" s="34"/>
      <c r="G16" s="10"/>
      <c r="H16" s="10"/>
      <c r="I16" s="10"/>
    </row>
    <row r="17" spans="3:9">
      <c r="C17" s="8" t="s">
        <v>23</v>
      </c>
      <c r="D17" s="4"/>
      <c r="E17" s="4">
        <f>D19</f>
        <v>31036</v>
      </c>
      <c r="F17" s="4">
        <f>E19</f>
        <v>33534</v>
      </c>
      <c r="G17" s="106">
        <f>F19</f>
        <v>34335</v>
      </c>
      <c r="H17" s="106">
        <f>G19</f>
        <v>36121.2021072969</v>
      </c>
      <c r="I17" s="106">
        <f>H19</f>
        <v>37506.753924485449</v>
      </c>
    </row>
    <row r="18" spans="3:9">
      <c r="C18" s="8" t="s">
        <v>24</v>
      </c>
      <c r="D18" s="4"/>
      <c r="E18" s="4">
        <f>E19-E17</f>
        <v>2498</v>
      </c>
      <c r="F18" s="4">
        <f>F19-F17</f>
        <v>801</v>
      </c>
      <c r="G18" s="106">
        <f>'Income Statement'!I8*FAM!G20</f>
        <v>1786.2021072969026</v>
      </c>
      <c r="H18" s="106">
        <f>'Income Statement'!J8*FAM!H20</f>
        <v>1385.5518171885487</v>
      </c>
      <c r="I18" s="106">
        <f>'Income Statement'!K8*FAM!I20</f>
        <v>2548.7411167117789</v>
      </c>
    </row>
    <row r="19" spans="3:9">
      <c r="C19" s="35" t="s">
        <v>25</v>
      </c>
      <c r="D19" s="76">
        <v>31036</v>
      </c>
      <c r="E19" s="76">
        <v>33534</v>
      </c>
      <c r="F19" s="76">
        <v>34335</v>
      </c>
      <c r="G19" s="118">
        <f>SUM(G17:G18)</f>
        <v>36121.2021072969</v>
      </c>
      <c r="H19" s="118">
        <f>SUM(H17:H18)</f>
        <v>37506.753924485449</v>
      </c>
      <c r="I19" s="118">
        <f>SUM(I17:I18)</f>
        <v>40055.495041197224</v>
      </c>
    </row>
    <row r="20" spans="3:9">
      <c r="C20" s="20" t="s">
        <v>26</v>
      </c>
      <c r="D20" s="36"/>
      <c r="E20" s="37">
        <f>E18/'Income Statement'!G8</f>
        <v>1.1497374198566741E-2</v>
      </c>
      <c r="F20" s="37">
        <f>F18/'Income Statement'!H8</f>
        <v>3.472312534137904E-3</v>
      </c>
      <c r="G20" s="44">
        <f>AVERAGE(E20:F20)</f>
        <v>7.4848433663523223E-3</v>
      </c>
      <c r="H20" s="44">
        <f>AVERAGE(F20:G20)</f>
        <v>5.4785779502451136E-3</v>
      </c>
      <c r="I20" s="44">
        <f>AVERAGE(G20:H20)+0.3%</f>
        <v>9.4817106582987185E-3</v>
      </c>
    </row>
    <row r="21" spans="3:9">
      <c r="G21" s="10"/>
      <c r="H21" s="10"/>
      <c r="I21" s="10"/>
    </row>
    <row r="22" spans="3:9">
      <c r="C22" s="6" t="s">
        <v>184</v>
      </c>
      <c r="G22" s="10"/>
      <c r="H22" s="10"/>
      <c r="I22" s="10"/>
    </row>
    <row r="23" spans="3:9">
      <c r="C23" s="8" t="s">
        <v>23</v>
      </c>
      <c r="D23" s="4"/>
      <c r="E23" s="4">
        <f>D25</f>
        <v>39836</v>
      </c>
      <c r="F23" s="4">
        <f>E25</f>
        <v>43353</v>
      </c>
      <c r="G23" s="106">
        <f>F25</f>
        <v>45450</v>
      </c>
      <c r="H23" s="106">
        <f>G25</f>
        <v>47750.262673300793</v>
      </c>
      <c r="I23" s="106">
        <f>H25</f>
        <v>49612.819212330513</v>
      </c>
    </row>
    <row r="24" spans="3:9">
      <c r="C24" s="8" t="s">
        <v>24</v>
      </c>
      <c r="D24" s="4"/>
      <c r="E24" s="4">
        <f>E25-E23</f>
        <v>3517</v>
      </c>
      <c r="F24" s="4">
        <f>F25-F23</f>
        <v>2097</v>
      </c>
      <c r="G24" s="106">
        <f>'Income Statement'!I$8*FAM!G26</f>
        <v>2300.2626733007892</v>
      </c>
      <c r="H24" s="106">
        <f>'Income Statement'!J$8*FAM!H26</f>
        <v>1862.5565390297177</v>
      </c>
      <c r="I24" s="106">
        <f>'Income Statement'!K$8*FAM!I26</f>
        <v>2285.3402134985877</v>
      </c>
    </row>
    <row r="25" spans="3:9">
      <c r="C25" s="35" t="s">
        <v>25</v>
      </c>
      <c r="D25" s="76">
        <v>39836</v>
      </c>
      <c r="E25" s="76">
        <v>43353</v>
      </c>
      <c r="F25" s="76">
        <v>45450</v>
      </c>
      <c r="G25" s="118">
        <f>SUM(G23:G24)</f>
        <v>47750.262673300793</v>
      </c>
      <c r="H25" s="118">
        <f>SUM(H23:H24)</f>
        <v>49612.819212330513</v>
      </c>
      <c r="I25" s="118">
        <f>SUM(I23:I24)</f>
        <v>51898.159425829101</v>
      </c>
    </row>
    <row r="26" spans="3:9">
      <c r="C26" s="20" t="s">
        <v>26</v>
      </c>
      <c r="D26" s="36"/>
      <c r="E26" s="37">
        <f>E24/'Income Statement'!G$8</f>
        <v>1.6187455987333559E-2</v>
      </c>
      <c r="F26" s="37">
        <f>F24/'Income Statement'!H$8</f>
        <v>9.0904361848778842E-3</v>
      </c>
      <c r="G26" s="44">
        <f>AVERAGE(E26:F26)-0.3%</f>
        <v>9.6389460861057222E-3</v>
      </c>
      <c r="H26" s="44">
        <f>AVERAGE(F26:G26)-0.2%</f>
        <v>7.3646911354918031E-3</v>
      </c>
      <c r="I26" s="44">
        <f>AVERAGE(G26:H26)</f>
        <v>8.5018186107987635E-3</v>
      </c>
    </row>
    <row r="27" spans="3:9">
      <c r="G27" s="10"/>
      <c r="H27" s="10"/>
      <c r="I27" s="10"/>
    </row>
    <row r="28" spans="3:9">
      <c r="C28" s="6" t="s">
        <v>191</v>
      </c>
      <c r="G28" s="10"/>
      <c r="H28" s="10"/>
      <c r="I28" s="10"/>
    </row>
    <row r="29" spans="3:9">
      <c r="C29" s="8" t="s">
        <v>23</v>
      </c>
      <c r="D29" s="4"/>
      <c r="E29" s="4">
        <f>D31</f>
        <v>58243</v>
      </c>
      <c r="F29" s="4">
        <f>E31</f>
        <v>64595</v>
      </c>
      <c r="G29" s="106">
        <f>F31</f>
        <v>68909</v>
      </c>
      <c r="H29" s="106">
        <f>G31</f>
        <v>70333.336401285851</v>
      </c>
      <c r="I29" s="106">
        <f>H31</f>
        <v>72441.232118619271</v>
      </c>
    </row>
    <row r="30" spans="3:9">
      <c r="C30" s="8" t="s">
        <v>24</v>
      </c>
      <c r="D30" s="4"/>
      <c r="E30" s="4">
        <f>E31-E29</f>
        <v>6352</v>
      </c>
      <c r="F30" s="4">
        <f>F31-F29</f>
        <v>4314</v>
      </c>
      <c r="G30" s="106">
        <f>'Income Statement'!I$8*FAM!G32</f>
        <v>1424.3364012858533</v>
      </c>
      <c r="H30" s="106">
        <f>'Income Statement'!J$8*FAM!H32</f>
        <v>2107.8957173334165</v>
      </c>
      <c r="I30" s="106">
        <f>'Income Statement'!K$8*FAM!I32</f>
        <v>1922.4032487574332</v>
      </c>
    </row>
    <row r="31" spans="3:9">
      <c r="C31" s="35" t="s">
        <v>25</v>
      </c>
      <c r="D31" s="76">
        <v>58243</v>
      </c>
      <c r="E31" s="76">
        <v>64595</v>
      </c>
      <c r="F31" s="76">
        <v>68909</v>
      </c>
      <c r="G31" s="118">
        <f>SUM(G29:G30)</f>
        <v>70333.336401285851</v>
      </c>
      <c r="H31" s="118">
        <f>SUM(H29:H30)</f>
        <v>72441.232118619271</v>
      </c>
      <c r="I31" s="118">
        <f>SUM(I29:I30)</f>
        <v>74363.635367376701</v>
      </c>
    </row>
    <row r="32" spans="3:9">
      <c r="C32" s="20" t="s">
        <v>26</v>
      </c>
      <c r="D32" s="36"/>
      <c r="E32" s="37">
        <f>E30/'Income Statement'!G$8</f>
        <v>2.9235917097396293E-2</v>
      </c>
      <c r="F32" s="37">
        <f>F30/'Income Statement'!H$8</f>
        <v>1.8701069004083543E-2</v>
      </c>
      <c r="G32" s="44">
        <f>AVERAGE(E32:F32)-1.8%</f>
        <v>5.9684930507399175E-3</v>
      </c>
      <c r="H32" s="44">
        <f>AVERAGE(F32:G32)-0.4%</f>
        <v>8.3347810274117303E-3</v>
      </c>
      <c r="I32" s="44">
        <f>AVERAGE(G32:H32)</f>
        <v>7.1516370390758239E-3</v>
      </c>
    </row>
    <row r="33" spans="3:9">
      <c r="G33" s="10"/>
      <c r="H33" s="10"/>
      <c r="I33" s="10"/>
    </row>
    <row r="34" spans="3:9">
      <c r="C34" s="6" t="s">
        <v>192</v>
      </c>
      <c r="G34" s="10"/>
      <c r="H34" s="10"/>
      <c r="I34" s="10"/>
    </row>
    <row r="35" spans="3:9">
      <c r="C35" s="8" t="s">
        <v>23</v>
      </c>
      <c r="D35" s="4"/>
      <c r="E35" s="4">
        <f>D37</f>
        <v>7717</v>
      </c>
      <c r="F35" s="4">
        <f>E37</f>
        <v>7008</v>
      </c>
      <c r="G35" s="106">
        <f>F37</f>
        <v>6876</v>
      </c>
      <c r="H35" s="106">
        <f>G37</f>
        <v>6418.3453696920496</v>
      </c>
      <c r="I35" s="106">
        <f>H37</f>
        <v>6103.4858339204939</v>
      </c>
    </row>
    <row r="36" spans="3:9">
      <c r="C36" s="8" t="s">
        <v>24</v>
      </c>
      <c r="D36" s="4"/>
      <c r="E36" s="4">
        <f>E37-E35</f>
        <v>-709</v>
      </c>
      <c r="F36" s="4">
        <f>F37-F35</f>
        <v>-132</v>
      </c>
      <c r="G36" s="106">
        <f>'Income Statement'!I$8*FAM!G38</f>
        <v>-457.65463030795024</v>
      </c>
      <c r="H36" s="106">
        <f>'Income Statement'!J$8*FAM!H38</f>
        <v>-314.85953577155595</v>
      </c>
      <c r="I36" s="106">
        <f>'Income Statement'!K$8*FAM!I38</f>
        <v>-425.07909943950438</v>
      </c>
    </row>
    <row r="37" spans="3:9">
      <c r="C37" s="35" t="s">
        <v>25</v>
      </c>
      <c r="D37" s="76">
        <v>7717</v>
      </c>
      <c r="E37" s="76">
        <v>7008</v>
      </c>
      <c r="F37" s="76">
        <v>6876</v>
      </c>
      <c r="G37" s="118">
        <f>SUM(G35:G36)</f>
        <v>6418.3453696920496</v>
      </c>
      <c r="H37" s="118">
        <f>SUM(H35:H36)</f>
        <v>6103.4858339204939</v>
      </c>
      <c r="I37" s="118">
        <f>SUM(I35:I36)</f>
        <v>5678.4067344809891</v>
      </c>
    </row>
    <row r="38" spans="3:9">
      <c r="C38" s="20" t="s">
        <v>26</v>
      </c>
      <c r="D38" s="36"/>
      <c r="E38" s="37">
        <f>E36/'Income Statement'!G$8</f>
        <v>-3.2632659354618972E-3</v>
      </c>
      <c r="F38" s="37">
        <f>F36/'Income Statement'!H$8</f>
        <v>-5.7221629776055348E-4</v>
      </c>
      <c r="G38" s="44">
        <f>AVERAGE(E38:F38)</f>
        <v>-1.9177411166112254E-3</v>
      </c>
      <c r="H38" s="44">
        <f>AVERAGE(F38:G38)</f>
        <v>-1.2449787071858894E-3</v>
      </c>
      <c r="I38" s="44">
        <f>AVERAGE(G38:H38)</f>
        <v>-1.5813599118985574E-3</v>
      </c>
    </row>
    <row r="39" spans="3:9">
      <c r="G39" s="10"/>
      <c r="H39" s="10"/>
      <c r="I39" s="10"/>
    </row>
    <row r="40" spans="3:9" ht="15.75" thickBot="1">
      <c r="F40" s="4"/>
      <c r="G40" s="10"/>
      <c r="H40" s="10"/>
      <c r="I40" s="10"/>
    </row>
    <row r="41" spans="3:9" ht="15.75" thickBot="1">
      <c r="C41" s="38" t="s">
        <v>27</v>
      </c>
      <c r="D41" s="48">
        <f t="shared" ref="D41:I41" si="0">D19+D25+D31+D37</f>
        <v>136832</v>
      </c>
      <c r="E41" s="48">
        <f t="shared" si="0"/>
        <v>148490</v>
      </c>
      <c r="F41" s="48">
        <f t="shared" si="0"/>
        <v>155570</v>
      </c>
      <c r="G41" s="124">
        <f t="shared" si="0"/>
        <v>160623.1465515756</v>
      </c>
      <c r="H41" s="124">
        <f t="shared" si="0"/>
        <v>165664.29108935571</v>
      </c>
      <c r="I41" s="124">
        <f t="shared" si="0"/>
        <v>171995.69656888401</v>
      </c>
    </row>
    <row r="42" spans="3:9" ht="15.75" thickBot="1">
      <c r="G42" s="10"/>
      <c r="H42" s="10"/>
      <c r="I42" s="10"/>
    </row>
    <row r="43" spans="3:9" ht="15.75" thickBot="1">
      <c r="C43" s="39" t="s">
        <v>28</v>
      </c>
      <c r="D43" s="40"/>
      <c r="E43" s="40">
        <f>E18+E24+E30+E36</f>
        <v>11658</v>
      </c>
      <c r="F43" s="40">
        <f>F18+F24+F30+F36</f>
        <v>7080</v>
      </c>
      <c r="G43" s="132">
        <f>G18+G24+G30+G36</f>
        <v>5053.1465515755954</v>
      </c>
      <c r="H43" s="132">
        <f>H18+H24+H30+H36</f>
        <v>5041.1445377801274</v>
      </c>
      <c r="I43" s="132">
        <f>I18+I24+I30+I36</f>
        <v>6331.4054795282955</v>
      </c>
    </row>
    <row r="44" spans="3:9">
      <c r="G44" s="10"/>
      <c r="H44" s="10"/>
      <c r="I44" s="10"/>
    </row>
    <row r="45" spans="3:9">
      <c r="C45" s="14" t="s">
        <v>29</v>
      </c>
      <c r="G45" s="10"/>
      <c r="H45" s="10"/>
      <c r="I45" s="10"/>
    </row>
    <row r="46" spans="3:9">
      <c r="C46" s="8" t="s">
        <v>30</v>
      </c>
      <c r="D46" s="13">
        <v>80721</v>
      </c>
      <c r="E46" s="13">
        <f>D48</f>
        <v>86661</v>
      </c>
      <c r="F46" s="13">
        <f>E48</f>
        <v>94456</v>
      </c>
      <c r="G46" s="10">
        <f>F48</f>
        <v>100327</v>
      </c>
      <c r="H46" s="43">
        <f>G48</f>
        <v>104004.25661380636</v>
      </c>
      <c r="I46" s="43">
        <f>H48</f>
        <v>107052.61206656038</v>
      </c>
    </row>
    <row r="47" spans="3:9">
      <c r="C47" s="8" t="s">
        <v>31</v>
      </c>
      <c r="D47" s="13">
        <f t="shared" ref="D47:I47" si="1">D48-D46</f>
        <v>5940</v>
      </c>
      <c r="E47" s="13">
        <f t="shared" si="1"/>
        <v>7795</v>
      </c>
      <c r="F47" s="13">
        <f t="shared" si="1"/>
        <v>5871</v>
      </c>
      <c r="G47" s="43">
        <f t="shared" si="1"/>
        <v>3677.2566138063557</v>
      </c>
      <c r="H47" s="43">
        <f t="shared" si="1"/>
        <v>3048.3554527540255</v>
      </c>
      <c r="I47" s="43">
        <f t="shared" si="1"/>
        <v>4203.3963176601683</v>
      </c>
    </row>
    <row r="48" spans="3:9">
      <c r="C48" s="41" t="s">
        <v>32</v>
      </c>
      <c r="D48" s="42">
        <v>86661</v>
      </c>
      <c r="E48" s="42">
        <v>94456</v>
      </c>
      <c r="F48" s="42">
        <v>100327</v>
      </c>
      <c r="G48" s="47">
        <f>G41*G49</f>
        <v>104004.25661380636</v>
      </c>
      <c r="H48" s="47">
        <f>H41*H49</f>
        <v>107052.61206656038</v>
      </c>
      <c r="I48" s="47">
        <f>I41*I49</f>
        <v>111256.00838422055</v>
      </c>
    </row>
    <row r="49" spans="3:9">
      <c r="C49" s="13" t="s">
        <v>193</v>
      </c>
      <c r="D49" s="11">
        <f>D48/D41</f>
        <v>0.63333869270346121</v>
      </c>
      <c r="E49" s="11">
        <f>E48/E41</f>
        <v>0.63611017576941209</v>
      </c>
      <c r="F49" s="11">
        <f>F48/F41</f>
        <v>0.64489940219836728</v>
      </c>
      <c r="G49" s="99">
        <f>AVERAGE(E49:F49)+0.7%</f>
        <v>0.64750478898388975</v>
      </c>
      <c r="H49" s="99">
        <f t="shared" ref="H49" si="2">AVERAGE(F49:G49)</f>
        <v>0.64620209559112851</v>
      </c>
      <c r="I49" s="99">
        <f>AVERAGE(G49:H49)</f>
        <v>0.64685344228750918</v>
      </c>
    </row>
    <row r="50" spans="3:9" ht="15.75" thickBot="1">
      <c r="C50" s="13" t="s">
        <v>194</v>
      </c>
      <c r="D50" s="11">
        <f>D47/D41</f>
        <v>4.3410898035547242E-2</v>
      </c>
      <c r="E50" s="11">
        <f>E47/E41</f>
        <v>5.2495117516331069E-2</v>
      </c>
      <c r="F50" s="11">
        <f>F47/F41</f>
        <v>3.7738638554991322E-2</v>
      </c>
      <c r="G50" s="99">
        <f>AVERAGE(E50:F50)-0.3%</f>
        <v>4.2116878035661193E-2</v>
      </c>
      <c r="H50" s="99">
        <f>AVERAGE(F50:G50)-0.3%</f>
        <v>3.6927758295326255E-2</v>
      </c>
      <c r="I50" s="99">
        <f>AVERAGE(G50:H50)-0.3%</f>
        <v>3.6522318165493721E-2</v>
      </c>
    </row>
    <row r="51" spans="3:9" ht="15.75" thickBot="1">
      <c r="C51" s="38" t="s">
        <v>33</v>
      </c>
      <c r="D51" s="48">
        <f t="shared" ref="D51:I51" si="3">D41-D48</f>
        <v>50171</v>
      </c>
      <c r="E51" s="48">
        <f t="shared" si="3"/>
        <v>54034</v>
      </c>
      <c r="F51" s="48">
        <f t="shared" si="3"/>
        <v>55243</v>
      </c>
      <c r="G51" s="46">
        <f t="shared" si="3"/>
        <v>56618.889937769243</v>
      </c>
      <c r="H51" s="46">
        <f t="shared" si="3"/>
        <v>58611.679022795332</v>
      </c>
      <c r="I51" s="46">
        <f t="shared" si="3"/>
        <v>60739.688184663464</v>
      </c>
    </row>
    <row r="52" spans="3:9">
      <c r="G52" s="10"/>
      <c r="H52" s="10"/>
      <c r="I52" s="10"/>
    </row>
    <row r="53" spans="3:9" hidden="1">
      <c r="G53" s="10"/>
      <c r="H53" s="10"/>
      <c r="I53" s="10"/>
    </row>
    <row r="54" spans="3:9" hidden="1">
      <c r="G54" s="10"/>
      <c r="H54" s="10"/>
      <c r="I54" s="10"/>
    </row>
    <row r="55" spans="3:9" hidden="1">
      <c r="G55" s="10"/>
      <c r="H55" s="10"/>
      <c r="I55" s="10"/>
    </row>
    <row r="56" spans="3:9" hidden="1">
      <c r="G56" s="10"/>
      <c r="H56" s="10"/>
      <c r="I56" s="10"/>
    </row>
    <row r="57" spans="3:9" hidden="1">
      <c r="G57" s="10"/>
      <c r="H57" s="10"/>
      <c r="I57" s="10"/>
    </row>
    <row r="58" spans="3:9" hidden="1">
      <c r="G58" s="10"/>
      <c r="H58" s="10"/>
      <c r="I58" s="10"/>
    </row>
    <row r="59" spans="3:9" hidden="1">
      <c r="G59" s="10"/>
      <c r="H59" s="10"/>
      <c r="I59" s="10"/>
    </row>
    <row r="60" spans="3:9" hidden="1">
      <c r="G60" s="10"/>
      <c r="H60" s="10"/>
      <c r="I60" s="10"/>
    </row>
    <row r="61" spans="3:9" hidden="1">
      <c r="G61" s="10"/>
      <c r="H61" s="10"/>
      <c r="I61" s="10"/>
    </row>
    <row r="62" spans="3:9" hidden="1">
      <c r="G62" s="10"/>
      <c r="H62" s="10"/>
      <c r="I62" s="10"/>
    </row>
    <row r="63" spans="3:9" hidden="1">
      <c r="G63" s="10"/>
      <c r="H63" s="10"/>
      <c r="I63" s="10"/>
    </row>
    <row r="64" spans="3:9" hidden="1">
      <c r="G64" s="10"/>
      <c r="H64" s="10"/>
      <c r="I64" s="10"/>
    </row>
    <row r="65" spans="2:9" hidden="1">
      <c r="G65" s="10"/>
      <c r="H65" s="10"/>
      <c r="I65" s="10"/>
    </row>
    <row r="66" spans="2:9" hidden="1">
      <c r="G66" s="10"/>
      <c r="H66" s="10"/>
      <c r="I66" s="10"/>
    </row>
    <row r="67" spans="2:9" hidden="1">
      <c r="G67" s="10"/>
      <c r="H67" s="10"/>
      <c r="I67" s="10"/>
    </row>
    <row r="68" spans="2:9" hidden="1">
      <c r="G68" s="10"/>
      <c r="H68" s="10"/>
      <c r="I68" s="10"/>
    </row>
    <row r="69" spans="2:9" hidden="1">
      <c r="G69" s="10"/>
      <c r="H69" s="10"/>
      <c r="I69" s="10"/>
    </row>
    <row r="70" spans="2:9" hidden="1">
      <c r="G70" s="10"/>
      <c r="H70" s="10"/>
      <c r="I70" s="10"/>
    </row>
    <row r="71" spans="2:9" hidden="1">
      <c r="G71" s="10"/>
      <c r="H71" s="10"/>
      <c r="I71" s="10"/>
    </row>
    <row r="72" spans="2:9" hidden="1">
      <c r="G72" s="10"/>
      <c r="H72" s="10"/>
      <c r="I72" s="10"/>
    </row>
    <row r="73" spans="2:9" hidden="1">
      <c r="G73" s="10"/>
      <c r="H73" s="10"/>
      <c r="I73" s="10"/>
    </row>
    <row r="74" spans="2:9" hidden="1">
      <c r="G74" s="10"/>
      <c r="H74" s="10"/>
      <c r="I74" s="10"/>
    </row>
    <row r="75" spans="2:9" hidden="1">
      <c r="G75" s="10"/>
      <c r="H75" s="10"/>
      <c r="I75" s="10"/>
    </row>
    <row r="76" spans="2:9" hidden="1">
      <c r="G76" s="10"/>
      <c r="H76" s="10"/>
      <c r="I76" s="10"/>
    </row>
    <row r="77" spans="2:9" hidden="1">
      <c r="G77" s="10"/>
      <c r="H77" s="10"/>
      <c r="I77" s="10"/>
    </row>
    <row r="78" spans="2:9" hidden="1">
      <c r="G78" s="10"/>
      <c r="H78" s="10"/>
      <c r="I78" s="10"/>
    </row>
    <row r="79" spans="2:9" hidden="1">
      <c r="G79" s="10"/>
      <c r="H79" s="10"/>
      <c r="I79" s="10"/>
    </row>
    <row r="80" spans="2:9">
      <c r="B80" s="127" t="s">
        <v>208</v>
      </c>
      <c r="G80" s="10"/>
      <c r="H80" s="10"/>
      <c r="I80" s="10"/>
    </row>
    <row r="81" spans="3:9">
      <c r="G81" s="10"/>
      <c r="H81" s="10"/>
      <c r="I81" s="10"/>
    </row>
    <row r="82" spans="3:9">
      <c r="C82" s="6" t="s">
        <v>195</v>
      </c>
      <c r="G82" s="10"/>
      <c r="H82" s="10"/>
      <c r="I82" s="10"/>
    </row>
    <row r="83" spans="3:9">
      <c r="C83" s="8" t="s">
        <v>23</v>
      </c>
      <c r="D83" s="4"/>
      <c r="E83" s="4">
        <f>D85</f>
        <v>17062</v>
      </c>
      <c r="F83" s="4">
        <f>E85</f>
        <v>17024</v>
      </c>
      <c r="G83" s="106">
        <f>F85</f>
        <v>16995</v>
      </c>
      <c r="H83" s="106">
        <f>G85</f>
        <v>16982.994586034689</v>
      </c>
      <c r="I83" s="106">
        <f>H85</f>
        <v>16986.026737263423</v>
      </c>
    </row>
    <row r="84" spans="3:9">
      <c r="C84" s="8" t="s">
        <v>24</v>
      </c>
      <c r="D84" s="4"/>
      <c r="E84" s="4">
        <f>E85-E83</f>
        <v>-38</v>
      </c>
      <c r="F84" s="4">
        <f>F85-F83</f>
        <v>-29</v>
      </c>
      <c r="G84" s="106">
        <f>'Income Statement'!I$8*FAM!G86</f>
        <v>-12.005413965311806</v>
      </c>
      <c r="H84" s="106">
        <f>'Income Statement'!J$8*FAM!H86</f>
        <v>3.032151228732983</v>
      </c>
      <c r="I84" s="106">
        <f>'Income Statement'!K$8*FAM!I86</f>
        <v>21.730584327535183</v>
      </c>
    </row>
    <row r="85" spans="3:9">
      <c r="C85" s="35" t="s">
        <v>25</v>
      </c>
      <c r="D85" s="76">
        <v>17062</v>
      </c>
      <c r="E85" s="76">
        <v>17024</v>
      </c>
      <c r="F85" s="76">
        <v>16995</v>
      </c>
      <c r="G85" s="118">
        <f>SUM(G83:G84)</f>
        <v>16982.994586034689</v>
      </c>
      <c r="H85" s="118">
        <f>SUM(H83:H84)</f>
        <v>16986.026737263423</v>
      </c>
      <c r="I85" s="118">
        <f>SUM(I83:I84)</f>
        <v>17007.757321590958</v>
      </c>
    </row>
    <row r="86" spans="3:9">
      <c r="C86" s="20" t="s">
        <v>26</v>
      </c>
      <c r="D86" s="36"/>
      <c r="E86" s="37">
        <f>E84/'Income Statement'!G$8</f>
        <v>-1.7490000782447403E-4</v>
      </c>
      <c r="F86" s="37">
        <f>F84/'Income Statement'!H$8</f>
        <v>-1.2571418662921251E-4</v>
      </c>
      <c r="G86" s="44">
        <f>AVERAGE(E86:F86)+0.01%</f>
        <v>-5.0307097226843267E-5</v>
      </c>
      <c r="H86" s="44">
        <f>AVERAGE(F86:G86)+0.01%</f>
        <v>1.1989358071972108E-5</v>
      </c>
      <c r="I86" s="44">
        <f>AVERAGE(G86:H86)+0.01%</f>
        <v>8.0841130422564425E-5</v>
      </c>
    </row>
    <row r="87" spans="3:9">
      <c r="G87" s="10"/>
      <c r="H87" s="10"/>
      <c r="I87" s="10"/>
    </row>
    <row r="88" spans="3:9">
      <c r="C88" s="6" t="s">
        <v>196</v>
      </c>
      <c r="G88" s="10"/>
      <c r="H88" s="10"/>
      <c r="I88" s="10"/>
    </row>
    <row r="89" spans="3:9">
      <c r="C89" s="8" t="s">
        <v>23</v>
      </c>
      <c r="D89" s="4"/>
      <c r="E89" s="4">
        <f>D91</f>
        <v>23646</v>
      </c>
      <c r="F89" s="4">
        <f>E91</f>
        <v>23559</v>
      </c>
      <c r="G89" s="106">
        <f>F91</f>
        <v>23443</v>
      </c>
      <c r="H89" s="106">
        <f>G91</f>
        <v>23335.218797178837</v>
      </c>
      <c r="I89" s="106">
        <f>H91</f>
        <v>23214.520627814039</v>
      </c>
    </row>
    <row r="90" spans="3:9">
      <c r="C90" s="8" t="s">
        <v>24</v>
      </c>
      <c r="D90" s="4"/>
      <c r="E90" s="4">
        <f>E91-E89</f>
        <v>-87</v>
      </c>
      <c r="F90" s="4">
        <f>F91-F89</f>
        <v>-116</v>
      </c>
      <c r="G90" s="106">
        <f>'Income Statement'!I$8*FAM!G92</f>
        <v>-107.78120282116292</v>
      </c>
      <c r="H90" s="106">
        <f>'Income Statement'!J$8*FAM!H92</f>
        <v>-120.69816936479739</v>
      </c>
      <c r="I90" s="106">
        <f>'Income Statement'!K$8*FAM!I92</f>
        <v>-124.84597945995344</v>
      </c>
    </row>
    <row r="91" spans="3:9">
      <c r="C91" s="35" t="s">
        <v>25</v>
      </c>
      <c r="D91" s="76">
        <v>23646</v>
      </c>
      <c r="E91" s="76">
        <v>23559</v>
      </c>
      <c r="F91" s="76">
        <v>23443</v>
      </c>
      <c r="G91" s="118">
        <f>SUM(G89:G90)</f>
        <v>23335.218797178837</v>
      </c>
      <c r="H91" s="118">
        <f>SUM(H89:H90)</f>
        <v>23214.520627814039</v>
      </c>
      <c r="I91" s="118">
        <f>SUM(I89:I90)</f>
        <v>23089.674648354085</v>
      </c>
    </row>
    <row r="92" spans="3:9">
      <c r="C92" s="20" t="s">
        <v>26</v>
      </c>
      <c r="D92" s="36"/>
      <c r="E92" s="37">
        <f>E90/'Income Statement'!G$8</f>
        <v>-4.0042896528234845E-4</v>
      </c>
      <c r="F92" s="37">
        <f>F90/'Income Statement'!H$8</f>
        <v>-5.0285674651685006E-4</v>
      </c>
      <c r="G92" s="44">
        <f>AVERAGE(E92:F92)</f>
        <v>-4.5164285589959928E-4</v>
      </c>
      <c r="H92" s="44">
        <f>AVERAGE(F92:G92)</f>
        <v>-4.7724980120822467E-4</v>
      </c>
      <c r="I92" s="44">
        <f>AVERAGE(G92:H92)</f>
        <v>-4.6444632855391197E-4</v>
      </c>
    </row>
    <row r="93" spans="3:9">
      <c r="G93" s="10"/>
      <c r="H93" s="10"/>
      <c r="I93" s="10"/>
    </row>
    <row r="94" spans="3:9">
      <c r="C94" s="6" t="s">
        <v>197</v>
      </c>
      <c r="G94" s="10"/>
      <c r="H94" s="10"/>
      <c r="I94" s="10"/>
    </row>
    <row r="95" spans="3:9">
      <c r="C95" s="8" t="s">
        <v>23</v>
      </c>
      <c r="D95" s="4"/>
      <c r="E95" s="4">
        <f>D97</f>
        <v>6781</v>
      </c>
      <c r="F95" s="4">
        <f>E97</f>
        <v>7285</v>
      </c>
      <c r="G95" s="106">
        <f>F97</f>
        <v>7115</v>
      </c>
      <c r="H95" s="106">
        <f>G97</f>
        <v>7423.1807443507278</v>
      </c>
      <c r="I95" s="106">
        <f>H97</f>
        <v>7493.2913447292813</v>
      </c>
    </row>
    <row r="96" spans="3:9">
      <c r="C96" s="8" t="s">
        <v>24</v>
      </c>
      <c r="D96" s="4"/>
      <c r="E96" s="4">
        <f>E97-E95</f>
        <v>504</v>
      </c>
      <c r="F96" s="4">
        <f>F97-F95</f>
        <v>-170</v>
      </c>
      <c r="G96" s="106">
        <f>'Income Statement'!I$8*FAM!G98</f>
        <v>308.18074435072771</v>
      </c>
      <c r="H96" s="106">
        <f>'Income Statement'!J$8*FAM!H98</f>
        <v>70.110600378553755</v>
      </c>
      <c r="I96" s="106">
        <f>'Income Statement'!K$8*FAM!I98</f>
        <v>210.82636317311386</v>
      </c>
    </row>
    <row r="97" spans="3:9">
      <c r="C97" s="35" t="s">
        <v>25</v>
      </c>
      <c r="D97" s="76">
        <v>6781</v>
      </c>
      <c r="E97" s="76">
        <v>7285</v>
      </c>
      <c r="F97" s="76">
        <v>7115</v>
      </c>
      <c r="G97" s="118">
        <f>SUM(G95:G96)</f>
        <v>7423.1807443507278</v>
      </c>
      <c r="H97" s="118">
        <f>SUM(H95:H96)</f>
        <v>7493.2913447292813</v>
      </c>
      <c r="I97" s="118">
        <f>SUM(I95:I96)</f>
        <v>7704.1177079023955</v>
      </c>
    </row>
    <row r="98" spans="3:9">
      <c r="C98" s="20" t="s">
        <v>26</v>
      </c>
      <c r="D98" s="36"/>
      <c r="E98" s="37">
        <f>E96/'Income Statement'!G$8</f>
        <v>2.3197264195667085E-3</v>
      </c>
      <c r="F98" s="37">
        <f>F96/'Income Statement'!H$8</f>
        <v>-7.3694523196434923E-4</v>
      </c>
      <c r="G98" s="44">
        <f>AVERAGE(E98:F98)+0.05%</f>
        <v>1.2913905938011796E-3</v>
      </c>
      <c r="H98" s="44">
        <f>AVERAGE(F98:G98)</f>
        <v>2.7722268091841517E-4</v>
      </c>
      <c r="I98" s="44">
        <f>AVERAGE(G98:H98)</f>
        <v>7.8430663735979734E-4</v>
      </c>
    </row>
    <row r="99" spans="3:9">
      <c r="G99" s="10"/>
      <c r="H99" s="10"/>
      <c r="I99" s="10"/>
    </row>
    <row r="100" spans="3:9">
      <c r="C100" s="6" t="s">
        <v>198</v>
      </c>
      <c r="G100" s="10"/>
      <c r="H100" s="10"/>
      <c r="I100" s="10"/>
    </row>
    <row r="101" spans="3:9">
      <c r="C101" s="8" t="s">
        <v>23</v>
      </c>
      <c r="D101" s="4"/>
      <c r="E101" s="4">
        <f>D103</f>
        <v>23681</v>
      </c>
      <c r="F101" s="4">
        <f>E103</f>
        <v>27366</v>
      </c>
      <c r="G101" s="106">
        <f>F103</f>
        <v>28952</v>
      </c>
      <c r="H101" s="106">
        <f>G103</f>
        <v>31796.137572882122</v>
      </c>
      <c r="I101" s="106">
        <f>H103</f>
        <v>33919.673514011236</v>
      </c>
    </row>
    <row r="102" spans="3:9">
      <c r="C102" s="8" t="s">
        <v>24</v>
      </c>
      <c r="D102" s="4"/>
      <c r="E102" s="4">
        <f>E103-E101</f>
        <v>3685</v>
      </c>
      <c r="F102" s="4">
        <f>F103-F101</f>
        <v>1586</v>
      </c>
      <c r="G102" s="106">
        <f>'Income Statement'!I$8*FAM!G104</f>
        <v>2844.137572882124</v>
      </c>
      <c r="H102" s="106">
        <f>'Income Statement'!J$8*FAM!H104</f>
        <v>2123.5359411291151</v>
      </c>
      <c r="I102" s="106">
        <f>'Income Statement'!K$8*FAM!I104</f>
        <v>1923.9262249700607</v>
      </c>
    </row>
    <row r="103" spans="3:9">
      <c r="C103" s="35" t="s">
        <v>25</v>
      </c>
      <c r="D103" s="76">
        <v>23681</v>
      </c>
      <c r="E103" s="76">
        <v>27366</v>
      </c>
      <c r="F103" s="76">
        <v>28952</v>
      </c>
      <c r="G103" s="118">
        <f>SUM(G101:G102)</f>
        <v>31796.137572882122</v>
      </c>
      <c r="H103" s="118">
        <f>SUM(H101:H102)</f>
        <v>33919.673514011236</v>
      </c>
      <c r="I103" s="118">
        <f>SUM(I101:I102)</f>
        <v>35843.599738981298</v>
      </c>
    </row>
    <row r="104" spans="3:9">
      <c r="C104" s="20" t="s">
        <v>26</v>
      </c>
      <c r="D104" s="36"/>
      <c r="E104" s="37">
        <f>E102/'Income Statement'!G$8</f>
        <v>1.6960698127189127E-2</v>
      </c>
      <c r="F104" s="37">
        <f>F102/'Income Statement'!H$8</f>
        <v>6.8752655170321048E-3</v>
      </c>
      <c r="G104" s="44">
        <f>AVERAGE(E104:F104)</f>
        <v>1.1917981822110617E-2</v>
      </c>
      <c r="H104" s="44">
        <f>AVERAGE(F104:G104)-0.1%</f>
        <v>8.3966236695713591E-3</v>
      </c>
      <c r="I104" s="44">
        <f>AVERAGE(G104:H104)-0.3%</f>
        <v>7.1573027458409879E-3</v>
      </c>
    </row>
    <row r="105" spans="3:9">
      <c r="G105" s="10"/>
      <c r="H105" s="10"/>
      <c r="I105" s="10"/>
    </row>
    <row r="106" spans="3:9">
      <c r="C106" s="6" t="s">
        <v>199</v>
      </c>
      <c r="G106" s="10"/>
      <c r="H106" s="10"/>
      <c r="I106" s="10"/>
    </row>
    <row r="107" spans="3:9">
      <c r="C107" s="8" t="s">
        <v>23</v>
      </c>
      <c r="D107" s="4"/>
      <c r="E107" s="4">
        <f>D109</f>
        <v>8529</v>
      </c>
      <c r="F107" s="4">
        <f>E109</f>
        <v>8637</v>
      </c>
      <c r="G107" s="106">
        <f>F109</f>
        <v>8588</v>
      </c>
      <c r="H107" s="106">
        <f>G109</f>
        <v>8621.9672597918634</v>
      </c>
      <c r="I107" s="106">
        <f>H109</f>
        <v>8613.105731538235</v>
      </c>
    </row>
    <row r="108" spans="3:9">
      <c r="C108" s="8" t="s">
        <v>24</v>
      </c>
      <c r="D108" s="4"/>
      <c r="E108" s="4">
        <f>E109-E107</f>
        <v>108</v>
      </c>
      <c r="F108" s="4">
        <f>F109-F107</f>
        <v>-49</v>
      </c>
      <c r="G108" s="106">
        <f>'Income Statement'!I$8*FAM!G110</f>
        <v>33.967259791863661</v>
      </c>
      <c r="H108" s="106">
        <f>'Income Statement'!J$8*FAM!H110</f>
        <v>-8.8615282536289044</v>
      </c>
      <c r="I108" s="106">
        <f>'Income Statement'!K$8*FAM!I110</f>
        <v>14.420925707877053</v>
      </c>
    </row>
    <row r="109" spans="3:9">
      <c r="C109" s="35" t="s">
        <v>25</v>
      </c>
      <c r="D109" s="76">
        <v>8529</v>
      </c>
      <c r="E109" s="76">
        <v>8637</v>
      </c>
      <c r="F109" s="76">
        <v>8588</v>
      </c>
      <c r="G109" s="118">
        <f>SUM(G107:G108)</f>
        <v>8621.9672597918634</v>
      </c>
      <c r="H109" s="118">
        <f>SUM(H107:H108)</f>
        <v>8613.105731538235</v>
      </c>
      <c r="I109" s="118">
        <f>SUM(I107:I108)</f>
        <v>8627.5266572461114</v>
      </c>
    </row>
    <row r="110" spans="3:9">
      <c r="C110" s="20" t="s">
        <v>26</v>
      </c>
      <c r="D110" s="36"/>
      <c r="E110" s="37">
        <f>E108/'Income Statement'!G$8</f>
        <v>4.9708423276429467E-4</v>
      </c>
      <c r="F110" s="37">
        <f>F108/'Income Statement'!H$8</f>
        <v>-2.1241362568384181E-4</v>
      </c>
      <c r="G110" s="44">
        <f t="shared" ref="G110:I110" si="4">AVERAGE(E110:F110)</f>
        <v>1.4233530354022643E-4</v>
      </c>
      <c r="H110" s="44">
        <f t="shared" si="4"/>
        <v>-3.5039161071807694E-5</v>
      </c>
      <c r="I110" s="44">
        <f t="shared" si="4"/>
        <v>5.3648071234209366E-5</v>
      </c>
    </row>
    <row r="111" spans="3:9">
      <c r="G111" s="10"/>
      <c r="H111" s="10"/>
      <c r="I111" s="10"/>
    </row>
    <row r="112" spans="3:9" ht="15.75" thickBot="1">
      <c r="G112" s="10"/>
      <c r="H112" s="10"/>
      <c r="I112" s="10"/>
    </row>
    <row r="113" spans="2:9" ht="15.75" thickBot="1">
      <c r="C113" s="38" t="s">
        <v>200</v>
      </c>
      <c r="D113" s="48">
        <f t="shared" ref="D113:I113" si="5">D85+D91+D97+D103+D109</f>
        <v>79699</v>
      </c>
      <c r="E113" s="48">
        <f t="shared" si="5"/>
        <v>83871</v>
      </c>
      <c r="F113" s="48">
        <f t="shared" si="5"/>
        <v>85093</v>
      </c>
      <c r="G113" s="124">
        <f t="shared" si="5"/>
        <v>88159.498960238256</v>
      </c>
      <c r="H113" s="124">
        <f t="shared" si="5"/>
        <v>90226.617955356225</v>
      </c>
      <c r="I113" s="124">
        <f t="shared" si="5"/>
        <v>92272.676074074843</v>
      </c>
    </row>
    <row r="114" spans="2:9" ht="15.75" thickBot="1">
      <c r="F114" s="4"/>
      <c r="G114" s="10"/>
      <c r="H114" s="10"/>
      <c r="I114" s="10"/>
    </row>
    <row r="115" spans="2:9" ht="15.75" thickBot="1">
      <c r="C115" s="39" t="s">
        <v>28</v>
      </c>
      <c r="D115" s="40"/>
      <c r="E115" s="40">
        <f>E84+E90+E96+E102+E108</f>
        <v>4172</v>
      </c>
      <c r="F115" s="40">
        <f>F84+F90+F96+F102+F108</f>
        <v>1222</v>
      </c>
      <c r="G115" s="132">
        <f>G84+G90+G96+G102+G108</f>
        <v>3066.4989602382407</v>
      </c>
      <c r="H115" s="132">
        <f>H84+H90+H96+H102+H108</f>
        <v>2067.1189951179758</v>
      </c>
      <c r="I115" s="132">
        <f>I84+I90+I96+I102+I108</f>
        <v>2046.0581187186335</v>
      </c>
    </row>
    <row r="116" spans="2:9" ht="15.75" thickBot="1">
      <c r="C116" s="39" t="s">
        <v>223</v>
      </c>
      <c r="D116" s="40"/>
      <c r="E116" s="40">
        <f>E115-E96-E102</f>
        <v>-17</v>
      </c>
      <c r="F116" s="40">
        <f>F115-F96-F102</f>
        <v>-194</v>
      </c>
      <c r="G116" s="132">
        <f>G115-G96-G102</f>
        <v>-85.819356994611098</v>
      </c>
      <c r="H116" s="132">
        <f>H115-H96-H102</f>
        <v>-126.52754638969304</v>
      </c>
      <c r="I116" s="132">
        <f>I115-I96-I102</f>
        <v>-88.694469424541012</v>
      </c>
    </row>
    <row r="117" spans="2:9">
      <c r="G117" s="10"/>
      <c r="H117" s="10"/>
      <c r="I117" s="10"/>
    </row>
    <row r="118" spans="2:9">
      <c r="C118" s="14" t="s">
        <v>201</v>
      </c>
      <c r="G118" s="10"/>
      <c r="H118" s="10"/>
      <c r="I118" s="10"/>
    </row>
    <row r="119" spans="2:9">
      <c r="C119" s="8" t="s">
        <v>203</v>
      </c>
      <c r="D119" s="4">
        <v>16818</v>
      </c>
      <c r="E119" s="4">
        <f>D121</f>
        <v>18553</v>
      </c>
      <c r="F119" s="4">
        <f>E121</f>
        <v>21271</v>
      </c>
      <c r="G119" s="106">
        <f>F121</f>
        <v>21674</v>
      </c>
      <c r="H119" s="106">
        <f>G121</f>
        <v>23464.762549523253</v>
      </c>
      <c r="I119" s="106">
        <f>H121</f>
        <v>24400.533117776449</v>
      </c>
    </row>
    <row r="120" spans="2:9">
      <c r="C120" s="8" t="s">
        <v>202</v>
      </c>
      <c r="D120" s="4">
        <f t="shared" ref="D120:I120" si="6">D121-D119</f>
        <v>1735</v>
      </c>
      <c r="E120" s="4">
        <f t="shared" si="6"/>
        <v>2718</v>
      </c>
      <c r="F120" s="4">
        <f t="shared" si="6"/>
        <v>403</v>
      </c>
      <c r="G120" s="106">
        <f t="shared" si="6"/>
        <v>1790.7625495232533</v>
      </c>
      <c r="H120" s="106">
        <f t="shared" si="6"/>
        <v>935.77056825319596</v>
      </c>
      <c r="I120" s="106">
        <f t="shared" si="6"/>
        <v>356.16567010875224</v>
      </c>
    </row>
    <row r="121" spans="2:9">
      <c r="C121" s="41" t="s">
        <v>204</v>
      </c>
      <c r="D121" s="125">
        <v>18553</v>
      </c>
      <c r="E121" s="125">
        <v>21271</v>
      </c>
      <c r="F121" s="125">
        <v>21674</v>
      </c>
      <c r="G121" s="126">
        <f>G113*G122</f>
        <v>23464.762549523253</v>
      </c>
      <c r="H121" s="126">
        <f>H113*H122</f>
        <v>24400.533117776449</v>
      </c>
      <c r="I121" s="126">
        <f>I113*I122</f>
        <v>24756.698787885201</v>
      </c>
    </row>
    <row r="122" spans="2:9">
      <c r="C122" s="13" t="s">
        <v>206</v>
      </c>
      <c r="D122" s="11">
        <f>D121/D113</f>
        <v>0.23278836622793259</v>
      </c>
      <c r="E122" s="11">
        <f>E121/E113</f>
        <v>0.25361567168628013</v>
      </c>
      <c r="F122" s="11">
        <f>F121/F113</f>
        <v>0.25470955307722137</v>
      </c>
      <c r="G122" s="99">
        <f>AVERAGE(E122:F122)+1.2%</f>
        <v>0.26616261238175076</v>
      </c>
      <c r="H122" s="99">
        <f>AVERAGE(F122:G122)+1%</f>
        <v>0.27043608272948605</v>
      </c>
      <c r="I122" s="99">
        <f>AVERAGE(G122:H122)</f>
        <v>0.26829934755561841</v>
      </c>
    </row>
    <row r="123" spans="2:9" ht="15.75" thickBot="1">
      <c r="C123" s="13" t="s">
        <v>207</v>
      </c>
      <c r="D123" s="11">
        <f>D120/D113</f>
        <v>2.1769407395324909E-2</v>
      </c>
      <c r="E123" s="11">
        <f>E120/E113</f>
        <v>3.2406910612726686E-2</v>
      </c>
      <c r="F123" s="11">
        <f>F120/F113</f>
        <v>4.7359947351721058E-3</v>
      </c>
      <c r="G123" s="99">
        <f>AVERAGE(E123:F123)-0.3%</f>
        <v>1.5571452673949396E-2</v>
      </c>
      <c r="H123" s="99">
        <f>AVERAGE(F123:G123)-0.3%</f>
        <v>7.1537237045607499E-3</v>
      </c>
      <c r="I123" s="99">
        <f>AVERAGE(G123:H123)-0.3%</f>
        <v>8.3625881892550741E-3</v>
      </c>
    </row>
    <row r="124" spans="2:9" ht="15.75" thickBot="1">
      <c r="C124" s="38" t="s">
        <v>205</v>
      </c>
      <c r="D124" s="48">
        <f t="shared" ref="D124:I124" si="7">D113-D121</f>
        <v>61146</v>
      </c>
      <c r="E124" s="48">
        <f t="shared" si="7"/>
        <v>62600</v>
      </c>
      <c r="F124" s="48">
        <f t="shared" si="7"/>
        <v>63419</v>
      </c>
      <c r="G124" s="124">
        <f t="shared" si="7"/>
        <v>64694.736410715006</v>
      </c>
      <c r="H124" s="124">
        <f t="shared" si="7"/>
        <v>65826.08483757978</v>
      </c>
      <c r="I124" s="124">
        <f t="shared" si="7"/>
        <v>67515.977286189649</v>
      </c>
    </row>
    <row r="125" spans="2:9">
      <c r="G125" s="10"/>
      <c r="H125" s="10"/>
      <c r="I125" s="10"/>
    </row>
    <row r="126" spans="2:9" ht="15.75" thickBot="1">
      <c r="G126" s="10"/>
      <c r="H126" s="10"/>
      <c r="I126" s="10"/>
    </row>
    <row r="127" spans="2:9">
      <c r="B127" s="137" t="s">
        <v>209</v>
      </c>
      <c r="C127" s="138"/>
      <c r="D127" s="138"/>
      <c r="E127" s="138"/>
      <c r="F127" s="138"/>
      <c r="G127" s="165"/>
      <c r="H127" s="165"/>
      <c r="I127" s="166"/>
    </row>
    <row r="128" spans="2:9">
      <c r="B128" s="139"/>
      <c r="C128" s="34"/>
      <c r="D128" s="34"/>
      <c r="E128" s="34"/>
      <c r="F128" s="34"/>
      <c r="G128" s="45"/>
      <c r="H128" s="45"/>
      <c r="I128" s="150"/>
    </row>
    <row r="129" spans="2:9">
      <c r="B129" s="139"/>
      <c r="C129" s="55" t="s">
        <v>23</v>
      </c>
      <c r="D129" s="133"/>
      <c r="E129" s="133">
        <f>D131</f>
        <v>45118</v>
      </c>
      <c r="F129" s="133">
        <f>E131</f>
        <v>51483</v>
      </c>
      <c r="G129" s="134">
        <f>F131</f>
        <v>52226</v>
      </c>
      <c r="H129" s="134">
        <f>G131</f>
        <v>56693.599534406887</v>
      </c>
      <c r="I129" s="140">
        <f>H131</f>
        <v>61933.984715305058</v>
      </c>
    </row>
    <row r="130" spans="2:9">
      <c r="B130" s="139"/>
      <c r="C130" s="55" t="s">
        <v>24</v>
      </c>
      <c r="D130" s="133"/>
      <c r="E130" s="133">
        <f>E131-E129</f>
        <v>6365</v>
      </c>
      <c r="F130" s="133">
        <f>F131-F129</f>
        <v>743</v>
      </c>
      <c r="G130" s="134">
        <f>'Income Statement'!I$8*FAM!G132</f>
        <v>4467.5995344068897</v>
      </c>
      <c r="H130" s="134">
        <f>'Income Statement'!J$8*FAM!H132</f>
        <v>5240.3851808981726</v>
      </c>
      <c r="I130" s="140">
        <f>'Income Statement'!K$8*FAM!I132</f>
        <v>6107.510949851061</v>
      </c>
    </row>
    <row r="131" spans="2:9">
      <c r="B131" s="139"/>
      <c r="C131" s="53" t="s">
        <v>25</v>
      </c>
      <c r="D131" s="141">
        <v>45118</v>
      </c>
      <c r="E131" s="141">
        <v>51483</v>
      </c>
      <c r="F131" s="141">
        <v>52226</v>
      </c>
      <c r="G131" s="142">
        <f>SUM(G129:G130)</f>
        <v>56693.599534406887</v>
      </c>
      <c r="H131" s="142">
        <f>SUM(H129:H130)</f>
        <v>61933.984715305058</v>
      </c>
      <c r="I131" s="143">
        <f>SUM(I129:I130)</f>
        <v>68041.495665156122</v>
      </c>
    </row>
    <row r="132" spans="2:9">
      <c r="B132" s="139"/>
      <c r="C132" s="144" t="s">
        <v>26</v>
      </c>
      <c r="D132" s="34"/>
      <c r="E132" s="128">
        <f>E130/'Income Statement'!G$8</f>
        <v>2.9295751310599402E-2</v>
      </c>
      <c r="F132" s="128">
        <f>F130/'Income Statement'!H$8</f>
        <v>3.2208841608794793E-3</v>
      </c>
      <c r="G132" s="135">
        <f>F132+1.55%</f>
        <v>1.872088416087948E-2</v>
      </c>
      <c r="H132" s="135">
        <f t="shared" ref="H132:I132" si="8">G132+0.2%</f>
        <v>2.0720884160879478E-2</v>
      </c>
      <c r="I132" s="145">
        <f t="shared" si="8"/>
        <v>2.272088416087948E-2</v>
      </c>
    </row>
    <row r="133" spans="2:9">
      <c r="B133" s="139"/>
      <c r="C133" s="54"/>
      <c r="D133" s="34"/>
      <c r="E133" s="128"/>
      <c r="F133" s="128"/>
      <c r="G133" s="129"/>
      <c r="H133" s="129"/>
      <c r="I133" s="146"/>
    </row>
    <row r="134" spans="2:9">
      <c r="B134" s="139"/>
      <c r="C134" s="147" t="s">
        <v>216</v>
      </c>
      <c r="D134" s="141">
        <v>45118</v>
      </c>
      <c r="E134" s="141">
        <v>51483</v>
      </c>
      <c r="F134" s="141">
        <v>52226</v>
      </c>
      <c r="G134" s="142">
        <f>G131</f>
        <v>56693.599534406887</v>
      </c>
      <c r="H134" s="142">
        <f>H131</f>
        <v>61933.984715305058</v>
      </c>
      <c r="I134" s="143">
        <f>I131</f>
        <v>68041.495665156122</v>
      </c>
    </row>
    <row r="135" spans="2:9">
      <c r="B135" s="139"/>
      <c r="C135" s="34"/>
      <c r="D135" s="34"/>
      <c r="E135" s="34"/>
      <c r="F135" s="34"/>
      <c r="G135" s="45"/>
      <c r="H135" s="45"/>
      <c r="I135" s="150"/>
    </row>
    <row r="136" spans="2:9">
      <c r="B136" s="139"/>
      <c r="C136" s="148" t="s">
        <v>28</v>
      </c>
      <c r="D136" s="149"/>
      <c r="E136" s="149">
        <v>6365</v>
      </c>
      <c r="F136" s="149">
        <v>743</v>
      </c>
      <c r="G136" s="170">
        <f t="shared" ref="G136:I136" si="9">G130</f>
        <v>4467.5995344068897</v>
      </c>
      <c r="H136" s="170">
        <f t="shared" si="9"/>
        <v>5240.3851808981726</v>
      </c>
      <c r="I136" s="171">
        <f t="shared" si="9"/>
        <v>6107.510949851061</v>
      </c>
    </row>
    <row r="137" spans="2:9">
      <c r="B137" s="139"/>
      <c r="C137" s="34"/>
      <c r="D137" s="34"/>
      <c r="E137" s="34"/>
      <c r="F137" s="34"/>
      <c r="G137" s="45"/>
      <c r="H137" s="45"/>
      <c r="I137" s="150"/>
    </row>
    <row r="138" spans="2:9">
      <c r="B138" s="139"/>
      <c r="C138" s="136" t="s">
        <v>210</v>
      </c>
      <c r="D138" s="34"/>
      <c r="E138" s="34"/>
      <c r="F138" s="34"/>
      <c r="G138" s="45"/>
      <c r="H138" s="45"/>
      <c r="I138" s="150"/>
    </row>
    <row r="139" spans="2:9">
      <c r="B139" s="139"/>
      <c r="C139" s="55" t="s">
        <v>211</v>
      </c>
      <c r="D139" s="133">
        <v>9195</v>
      </c>
      <c r="E139" s="133">
        <f>D141</f>
        <v>11945</v>
      </c>
      <c r="F139" s="133">
        <f>E141</f>
        <v>13044</v>
      </c>
      <c r="G139" s="134">
        <f>F141</f>
        <v>12972</v>
      </c>
      <c r="H139" s="134">
        <f>G141</f>
        <v>14222.927991760387</v>
      </c>
      <c r="I139" s="140">
        <f>H141</f>
        <v>15460.445655332764</v>
      </c>
    </row>
    <row r="140" spans="2:9">
      <c r="B140" s="139"/>
      <c r="C140" s="55" t="s">
        <v>202</v>
      </c>
      <c r="D140" s="133">
        <f t="shared" ref="D140:I140" si="10">D141-D139</f>
        <v>2750</v>
      </c>
      <c r="E140" s="133">
        <f t="shared" si="10"/>
        <v>1099</v>
      </c>
      <c r="F140" s="133">
        <f t="shared" si="10"/>
        <v>-72</v>
      </c>
      <c r="G140" s="134">
        <f t="shared" si="10"/>
        <v>1250.9279917603872</v>
      </c>
      <c r="H140" s="134">
        <f t="shared" si="10"/>
        <v>1237.5176635723765</v>
      </c>
      <c r="I140" s="140">
        <f t="shared" si="10"/>
        <v>2247.4022855655912</v>
      </c>
    </row>
    <row r="141" spans="2:9">
      <c r="B141" s="139"/>
      <c r="C141" s="53" t="s">
        <v>212</v>
      </c>
      <c r="D141" s="141">
        <v>11945</v>
      </c>
      <c r="E141" s="141">
        <v>13044</v>
      </c>
      <c r="F141" s="141">
        <v>12972</v>
      </c>
      <c r="G141" s="142">
        <f>G134*G142</f>
        <v>14222.927991760387</v>
      </c>
      <c r="H141" s="142">
        <f>H134*H142</f>
        <v>15460.445655332764</v>
      </c>
      <c r="I141" s="143">
        <f>I134*I142</f>
        <v>17707.847940898355</v>
      </c>
    </row>
    <row r="142" spans="2:9">
      <c r="B142" s="139"/>
      <c r="C142" s="34" t="s">
        <v>214</v>
      </c>
      <c r="D142" s="128">
        <f>D141/D134</f>
        <v>0.26475021055897868</v>
      </c>
      <c r="E142" s="128">
        <f>E141/E134</f>
        <v>0.25336518850882817</v>
      </c>
      <c r="F142" s="128">
        <f>F141/F134</f>
        <v>0.24838203193811512</v>
      </c>
      <c r="G142" s="135">
        <f>AVERAGE(E142:F142)</f>
        <v>0.25087361022347165</v>
      </c>
      <c r="H142" s="135">
        <f>AVERAGE(F142:G142)</f>
        <v>0.2496278210807934</v>
      </c>
      <c r="I142" s="145">
        <f>AVERAGE(G142:H142)+1%</f>
        <v>0.26025071565213254</v>
      </c>
    </row>
    <row r="143" spans="2:9">
      <c r="B143" s="139"/>
      <c r="C143" s="34" t="s">
        <v>215</v>
      </c>
      <c r="D143" s="128">
        <f>D140/D131</f>
        <v>6.0951283301564789E-2</v>
      </c>
      <c r="E143" s="128">
        <f>E140/E131</f>
        <v>2.1346852359031138E-2</v>
      </c>
      <c r="F143" s="128">
        <f>F140/F131</f>
        <v>-1.3786236740320913E-3</v>
      </c>
      <c r="G143" s="135">
        <f>AVERAGE(E143:F143)</f>
        <v>9.9841143424995241E-3</v>
      </c>
      <c r="H143" s="135">
        <f>AVERAGE(F143:G143)</f>
        <v>4.3027453342337164E-3</v>
      </c>
      <c r="I143" s="145">
        <f>AVERAGE(G143:H143)</f>
        <v>7.1434298383666207E-3</v>
      </c>
    </row>
    <row r="144" spans="2:9">
      <c r="B144" s="139"/>
      <c r="C144" s="147" t="s">
        <v>213</v>
      </c>
      <c r="D144" s="141">
        <f t="shared" ref="D144:I144" si="11">D134-D141</f>
        <v>33173</v>
      </c>
      <c r="E144" s="141">
        <f t="shared" si="11"/>
        <v>38439</v>
      </c>
      <c r="F144" s="141">
        <f t="shared" si="11"/>
        <v>39254</v>
      </c>
      <c r="G144" s="142">
        <f t="shared" si="11"/>
        <v>42470.671542646502</v>
      </c>
      <c r="H144" s="142">
        <f t="shared" si="11"/>
        <v>46473.539059972296</v>
      </c>
      <c r="I144" s="143">
        <f t="shared" si="11"/>
        <v>50333.647724257768</v>
      </c>
    </row>
    <row r="145" spans="2:9" ht="15.75" thickBot="1">
      <c r="B145" s="151"/>
      <c r="C145" s="152"/>
      <c r="D145" s="152"/>
      <c r="E145" s="152"/>
      <c r="F145" s="152"/>
      <c r="G145" s="167"/>
      <c r="H145" s="168"/>
      <c r="I145" s="169"/>
    </row>
    <row r="146" spans="2:9">
      <c r="F146" s="12"/>
      <c r="G146" s="10"/>
      <c r="H146" s="10"/>
      <c r="I146" s="10"/>
    </row>
    <row r="147" spans="2:9">
      <c r="B147" s="127" t="s">
        <v>217</v>
      </c>
      <c r="G147" s="10"/>
      <c r="H147" s="10"/>
      <c r="I147" s="10"/>
    </row>
    <row r="148" spans="2:9">
      <c r="G148" s="10"/>
      <c r="H148" s="10"/>
      <c r="I148" s="10"/>
    </row>
    <row r="149" spans="2:9">
      <c r="C149" s="8" t="s">
        <v>23</v>
      </c>
      <c r="D149" s="4"/>
      <c r="E149" s="4">
        <f>D151</f>
        <v>761</v>
      </c>
      <c r="F149" s="4">
        <f>E151</f>
        <v>780</v>
      </c>
      <c r="G149" s="106">
        <f>F151</f>
        <v>748</v>
      </c>
      <c r="H149" s="106">
        <f>G151</f>
        <v>741.88250578991006</v>
      </c>
      <c r="I149" s="106">
        <f>H151</f>
        <v>746.39004981025994</v>
      </c>
    </row>
    <row r="150" spans="2:9">
      <c r="C150" s="8" t="s">
        <v>24</v>
      </c>
      <c r="D150" s="4"/>
      <c r="E150" s="4">
        <f>E151-E149</f>
        <v>19</v>
      </c>
      <c r="F150" s="4">
        <f>F151-F149</f>
        <v>-32</v>
      </c>
      <c r="G150" s="106">
        <f>'Income Statement'!I$8*FAM!G152</f>
        <v>-6.1174942100899568</v>
      </c>
      <c r="H150" s="106">
        <f>'Income Statement'!J$8*FAM!H152</f>
        <v>4.5075440203498527</v>
      </c>
      <c r="I150" s="106">
        <f>'Income Statement'!K$8*FAM!I152</f>
        <v>25.830731811397431</v>
      </c>
    </row>
    <row r="151" spans="2:9">
      <c r="C151" s="35" t="s">
        <v>25</v>
      </c>
      <c r="D151" s="76">
        <v>761</v>
      </c>
      <c r="E151" s="76">
        <v>780</v>
      </c>
      <c r="F151" s="76">
        <v>748</v>
      </c>
      <c r="G151" s="118">
        <f>SUM(G149:G150)</f>
        <v>741.88250578991006</v>
      </c>
      <c r="H151" s="118">
        <f>SUM(H149:H150)</f>
        <v>746.39004981025994</v>
      </c>
      <c r="I151" s="118">
        <f>SUM(I149:I150)</f>
        <v>772.22078162165735</v>
      </c>
    </row>
    <row r="152" spans="2:9">
      <c r="C152" s="20" t="s">
        <v>26</v>
      </c>
      <c r="D152" s="36"/>
      <c r="E152" s="37">
        <f>E150/'Income Statement'!G$8</f>
        <v>8.7450003912237014E-5</v>
      </c>
      <c r="F152" s="37">
        <f>F150/'Income Statement'!H$8</f>
        <v>-1.3871910248740692E-4</v>
      </c>
      <c r="G152" s="99">
        <f>AVERAGE(E152:F152)</f>
        <v>-2.5634549287584952E-5</v>
      </c>
      <c r="H152" s="99">
        <f>AVERAGE(F152:G152)+0.01%</f>
        <v>1.7823174112504073E-5</v>
      </c>
      <c r="I152" s="99">
        <f>AVERAGE(G152:H152)+0.01%</f>
        <v>9.6094312412459568E-5</v>
      </c>
    </row>
    <row r="153" spans="2:9" ht="15.75" thickBot="1">
      <c r="C153" s="54"/>
      <c r="D153" s="34"/>
      <c r="E153" s="128"/>
      <c r="F153" s="128"/>
      <c r="G153" s="129"/>
      <c r="H153" s="129"/>
      <c r="I153" s="129"/>
    </row>
    <row r="154" spans="2:9" ht="15.75" thickBot="1">
      <c r="C154" s="38" t="s">
        <v>220</v>
      </c>
      <c r="D154" s="48">
        <f t="shared" ref="D154:I154" si="12">D151</f>
        <v>761</v>
      </c>
      <c r="E154" s="48">
        <f t="shared" si="12"/>
        <v>780</v>
      </c>
      <c r="F154" s="48">
        <f t="shared" si="12"/>
        <v>748</v>
      </c>
      <c r="G154" s="124">
        <f t="shared" si="12"/>
        <v>741.88250578991006</v>
      </c>
      <c r="H154" s="124">
        <f t="shared" si="12"/>
        <v>746.39004981025994</v>
      </c>
      <c r="I154" s="124">
        <f t="shared" si="12"/>
        <v>772.22078162165735</v>
      </c>
    </row>
    <row r="155" spans="2:9" ht="15.75" thickBot="1">
      <c r="G155" s="10"/>
      <c r="H155" s="10"/>
      <c r="I155" s="10"/>
    </row>
    <row r="156" spans="2:9" ht="15.75" thickBot="1">
      <c r="C156" s="39" t="s">
        <v>28</v>
      </c>
      <c r="D156" s="40"/>
      <c r="E156" s="130">
        <f>E150</f>
        <v>19</v>
      </c>
      <c r="F156" s="130">
        <f>F150</f>
        <v>-32</v>
      </c>
      <c r="G156" s="131">
        <f>G150</f>
        <v>-6.1174942100899568</v>
      </c>
      <c r="H156" s="131">
        <f>H150</f>
        <v>4.5075440203498527</v>
      </c>
      <c r="I156" s="131">
        <f>I150</f>
        <v>25.830731811397431</v>
      </c>
    </row>
    <row r="157" spans="2:9">
      <c r="G157" s="10"/>
      <c r="H157" s="10"/>
      <c r="I157" s="10"/>
    </row>
    <row r="158" spans="2:9">
      <c r="C158" s="14" t="s">
        <v>210</v>
      </c>
      <c r="G158" s="10"/>
      <c r="H158" s="10"/>
      <c r="I158" s="10"/>
    </row>
    <row r="159" spans="2:9">
      <c r="C159" s="8" t="s">
        <v>211</v>
      </c>
      <c r="D159" s="4">
        <v>251</v>
      </c>
      <c r="E159" s="4">
        <f>D161</f>
        <v>257</v>
      </c>
      <c r="F159" s="4">
        <f>E161</f>
        <v>268</v>
      </c>
      <c r="G159" s="106">
        <f>F161</f>
        <v>279</v>
      </c>
      <c r="H159" s="106">
        <f>G161</f>
        <v>265.81071365579044</v>
      </c>
      <c r="I159" s="106">
        <f>H161</f>
        <v>272.91261434950047</v>
      </c>
    </row>
    <row r="160" spans="2:9">
      <c r="C160" s="8" t="s">
        <v>202</v>
      </c>
      <c r="D160" s="4">
        <f t="shared" ref="D160:I160" si="13">D161-D159</f>
        <v>6</v>
      </c>
      <c r="E160" s="4">
        <f t="shared" si="13"/>
        <v>11</v>
      </c>
      <c r="F160" s="4">
        <f t="shared" si="13"/>
        <v>11</v>
      </c>
      <c r="G160" s="106">
        <f t="shared" si="13"/>
        <v>-13.189286344209563</v>
      </c>
      <c r="H160" s="106">
        <f t="shared" si="13"/>
        <v>7.1019006937100357</v>
      </c>
      <c r="I160" s="106">
        <f t="shared" si="13"/>
        <v>6.6064520462593919</v>
      </c>
    </row>
    <row r="161" spans="3:9">
      <c r="C161" s="41" t="s">
        <v>212</v>
      </c>
      <c r="D161" s="125">
        <v>257</v>
      </c>
      <c r="E161" s="125">
        <v>268</v>
      </c>
      <c r="F161" s="125">
        <v>279</v>
      </c>
      <c r="G161" s="126">
        <f>G154*G162</f>
        <v>265.81071365579044</v>
      </c>
      <c r="H161" s="126">
        <f>H154*H162</f>
        <v>272.91261434950047</v>
      </c>
      <c r="I161" s="126">
        <f>I154*I162</f>
        <v>279.51906639575986</v>
      </c>
    </row>
    <row r="162" spans="3:9">
      <c r="C162" s="13" t="s">
        <v>218</v>
      </c>
      <c r="D162" s="11">
        <f>D161/D154</f>
        <v>0.33771353482260186</v>
      </c>
      <c r="E162" s="11">
        <f>E161/E154</f>
        <v>0.34358974358974359</v>
      </c>
      <c r="F162" s="11">
        <f>F161/F154</f>
        <v>0.3729946524064171</v>
      </c>
      <c r="G162" s="99">
        <f t="shared" ref="G162:I163" si="14">AVERAGE(E162:F162)</f>
        <v>0.35829219799808032</v>
      </c>
      <c r="H162" s="99">
        <f t="shared" si="14"/>
        <v>0.36564342520224868</v>
      </c>
      <c r="I162" s="99">
        <f t="shared" si="14"/>
        <v>0.3619678116001645</v>
      </c>
    </row>
    <row r="163" spans="3:9" ht="15.75" thickBot="1">
      <c r="C163" s="13" t="s">
        <v>219</v>
      </c>
      <c r="D163" s="11">
        <f>D160/D151</f>
        <v>7.8843626806833107E-3</v>
      </c>
      <c r="E163" s="11">
        <f>E160/E151</f>
        <v>1.4102564102564103E-2</v>
      </c>
      <c r="F163" s="11">
        <f>F160/F151</f>
        <v>1.4705882352941176E-2</v>
      </c>
      <c r="G163" s="99">
        <f t="shared" si="14"/>
        <v>1.440422322775264E-2</v>
      </c>
      <c r="H163" s="99">
        <f t="shared" si="14"/>
        <v>1.4555052790346908E-2</v>
      </c>
      <c r="I163" s="99">
        <f t="shared" si="14"/>
        <v>1.4479638009049774E-2</v>
      </c>
    </row>
    <row r="164" spans="3:9" ht="15.75" thickBot="1">
      <c r="C164" s="38" t="s">
        <v>221</v>
      </c>
      <c r="D164" s="48">
        <f t="shared" ref="D164:I164" si="15">D154-D161</f>
        <v>504</v>
      </c>
      <c r="E164" s="48">
        <f t="shared" si="15"/>
        <v>512</v>
      </c>
      <c r="F164" s="48">
        <f t="shared" si="15"/>
        <v>469</v>
      </c>
      <c r="G164" s="124">
        <f t="shared" si="15"/>
        <v>476.07179213411962</v>
      </c>
      <c r="H164" s="124">
        <f t="shared" si="15"/>
        <v>473.47743546075947</v>
      </c>
      <c r="I164" s="124">
        <f t="shared" si="15"/>
        <v>492.70171522589749</v>
      </c>
    </row>
    <row r="165" spans="3:9">
      <c r="C165" s="14"/>
      <c r="G165" s="10"/>
      <c r="H165" s="10"/>
      <c r="I165" s="10"/>
    </row>
    <row r="166" spans="3:9">
      <c r="C166" s="14"/>
      <c r="G166" s="10"/>
      <c r="H166" s="10"/>
      <c r="I166" s="10"/>
    </row>
    <row r="167" spans="3:9">
      <c r="C167" s="153" t="s">
        <v>222</v>
      </c>
      <c r="D167" s="50"/>
      <c r="E167" s="50"/>
      <c r="F167" s="50"/>
      <c r="G167" s="154"/>
      <c r="H167" s="154"/>
      <c r="I167" s="155"/>
    </row>
    <row r="168" spans="3:9">
      <c r="C168" s="156"/>
      <c r="D168" s="51"/>
      <c r="E168" s="157">
        <f t="shared" ref="E168:I168" si="16">E43+E115+E136+E156</f>
        <v>22214</v>
      </c>
      <c r="F168" s="157">
        <f t="shared" si="16"/>
        <v>9013</v>
      </c>
      <c r="G168" s="158">
        <f t="shared" si="16"/>
        <v>12581.127552010637</v>
      </c>
      <c r="H168" s="158">
        <f t="shared" si="16"/>
        <v>12353.156257816625</v>
      </c>
      <c r="I168" s="159">
        <f t="shared" si="16"/>
        <v>14510.805279909388</v>
      </c>
    </row>
    <row r="169" spans="3:9">
      <c r="C169" s="14"/>
      <c r="G169" s="10"/>
      <c r="H169" s="10"/>
      <c r="I169" s="10"/>
    </row>
    <row r="170" spans="3:9">
      <c r="C170" s="153" t="s">
        <v>224</v>
      </c>
      <c r="D170" s="50"/>
      <c r="E170" s="50"/>
      <c r="F170" s="160"/>
      <c r="G170" s="161"/>
      <c r="H170" s="154"/>
      <c r="I170" s="155"/>
    </row>
    <row r="171" spans="3:9">
      <c r="C171" s="156"/>
      <c r="D171" s="162">
        <f t="shared" ref="D171:I171" si="17">D47+D120+D140+D160</f>
        <v>10431</v>
      </c>
      <c r="E171" s="162">
        <f t="shared" si="17"/>
        <v>11623</v>
      </c>
      <c r="F171" s="162">
        <f t="shared" si="17"/>
        <v>6213</v>
      </c>
      <c r="G171" s="163">
        <f t="shared" si="17"/>
        <v>6705.7578687457863</v>
      </c>
      <c r="H171" s="163">
        <f t="shared" si="17"/>
        <v>5228.7455852733083</v>
      </c>
      <c r="I171" s="164">
        <f t="shared" si="17"/>
        <v>6813.5707253807714</v>
      </c>
    </row>
    <row r="172" spans="3:9">
      <c r="C172" s="14"/>
      <c r="G172" s="106"/>
      <c r="H172" s="10"/>
      <c r="I172" s="10"/>
    </row>
    <row r="173" spans="3:9" s="2" customFormat="1" ht="15" customHeight="1"/>
    <row r="174" spans="3:9" hidden="1">
      <c r="C174" s="14"/>
      <c r="G174" s="10"/>
      <c r="H174" s="10"/>
      <c r="I174" s="10"/>
    </row>
    <row r="175" spans="3:9" hidden="1">
      <c r="C175" s="14"/>
      <c r="G175" s="10"/>
      <c r="H175" s="10"/>
      <c r="I175" s="10"/>
    </row>
    <row r="176" spans="3:9" hidden="1">
      <c r="C176" s="14"/>
      <c r="G176" s="10"/>
      <c r="H176" s="10"/>
      <c r="I176" s="10"/>
    </row>
    <row r="177" spans="3:9" hidden="1">
      <c r="C177" s="14"/>
      <c r="G177" s="10"/>
      <c r="H177" s="10"/>
      <c r="I177" s="10"/>
    </row>
    <row r="178" spans="3:9" hidden="1">
      <c r="C178" s="14"/>
      <c r="G178" s="10"/>
      <c r="H178" s="10"/>
      <c r="I178" s="10"/>
    </row>
    <row r="179" spans="3:9" hidden="1">
      <c r="C179" s="14"/>
      <c r="G179" s="10"/>
      <c r="H179" s="10"/>
      <c r="I179" s="10"/>
    </row>
    <row r="180" spans="3:9" hidden="1">
      <c r="C180" s="14"/>
      <c r="G180" s="10"/>
      <c r="H180" s="10"/>
      <c r="I180" s="10"/>
    </row>
    <row r="181" spans="3:9" hidden="1">
      <c r="C181" s="14"/>
      <c r="G181" s="10"/>
      <c r="H181" s="10"/>
      <c r="I181" s="10"/>
    </row>
    <row r="182" spans="3:9" hidden="1">
      <c r="C182" s="14"/>
      <c r="G182" s="10"/>
      <c r="H182" s="10"/>
      <c r="I182" s="10"/>
    </row>
    <row r="183" spans="3:9" hidden="1">
      <c r="C183" s="14"/>
      <c r="G183" s="10"/>
      <c r="H183" s="10"/>
      <c r="I183" s="10"/>
    </row>
    <row r="184" spans="3:9" hidden="1">
      <c r="C184" s="14"/>
      <c r="G184" s="10"/>
      <c r="H184" s="10"/>
      <c r="I184" s="10"/>
    </row>
    <row r="185" spans="3:9" hidden="1">
      <c r="C185" s="14"/>
      <c r="G185" s="10"/>
      <c r="H185" s="10"/>
      <c r="I185" s="10"/>
    </row>
    <row r="186" spans="3:9" hidden="1">
      <c r="C186" s="14"/>
      <c r="G186" s="10"/>
      <c r="H186" s="10"/>
      <c r="I186" s="10"/>
    </row>
    <row r="187" spans="3:9" hidden="1">
      <c r="C187" s="14"/>
      <c r="G187" s="10"/>
      <c r="H187" s="10"/>
      <c r="I187" s="10"/>
    </row>
    <row r="188" spans="3:9" hidden="1">
      <c r="C188" s="14"/>
      <c r="G188" s="10"/>
      <c r="H188" s="10"/>
      <c r="I188" s="10"/>
    </row>
    <row r="189" spans="3:9" hidden="1">
      <c r="C189" s="14"/>
      <c r="G189" s="10"/>
      <c r="H189" s="10"/>
      <c r="I189" s="10"/>
    </row>
    <row r="190" spans="3:9" hidden="1">
      <c r="C190" s="14"/>
      <c r="G190" s="10"/>
      <c r="H190" s="10"/>
      <c r="I190" s="10"/>
    </row>
    <row r="191" spans="3:9" hidden="1">
      <c r="C191" s="14"/>
      <c r="G191" s="10"/>
      <c r="H191" s="10"/>
      <c r="I191" s="10"/>
    </row>
    <row r="192" spans="3:9" hidden="1">
      <c r="C192" s="14"/>
      <c r="G192" s="10"/>
      <c r="H192" s="10"/>
      <c r="I192" s="10"/>
    </row>
    <row r="193" spans="3:9" hidden="1">
      <c r="C193" s="14"/>
      <c r="G193" s="10"/>
      <c r="H193" s="10"/>
      <c r="I193" s="10"/>
    </row>
    <row r="194" spans="3:9" hidden="1">
      <c r="C194" s="14"/>
      <c r="G194" s="10"/>
      <c r="H194" s="10"/>
      <c r="I194" s="10"/>
    </row>
    <row r="195" spans="3:9" hidden="1">
      <c r="C195" s="14"/>
      <c r="G195" s="10"/>
      <c r="H195" s="10"/>
      <c r="I195" s="10"/>
    </row>
    <row r="196" spans="3:9" hidden="1">
      <c r="C196" s="14"/>
      <c r="G196" s="10"/>
      <c r="H196" s="10"/>
      <c r="I196" s="10"/>
    </row>
    <row r="197" spans="3:9" hidden="1">
      <c r="C197" s="14"/>
      <c r="G197" s="10"/>
      <c r="H197" s="10"/>
      <c r="I197" s="10"/>
    </row>
    <row r="198" spans="3:9" hidden="1">
      <c r="C198" s="14"/>
      <c r="G198" s="10"/>
      <c r="H198" s="10"/>
      <c r="I198" s="10"/>
    </row>
    <row r="199" spans="3:9" hidden="1">
      <c r="C199" s="14"/>
      <c r="G199" s="10"/>
      <c r="H199" s="10"/>
      <c r="I199" s="10"/>
    </row>
    <row r="200" spans="3:9" hidden="1">
      <c r="C200" s="8" t="s">
        <v>202</v>
      </c>
      <c r="D200" s="4" t="e">
        <f>D201-#REF!</f>
        <v>#REF!</v>
      </c>
      <c r="E200" s="4" t="e">
        <f>E201-#REF!</f>
        <v>#REF!</v>
      </c>
      <c r="F200" s="4" t="e">
        <f>F201-#REF!</f>
        <v>#REF!</v>
      </c>
      <c r="G200" s="106" t="e">
        <f>G201-#REF!</f>
        <v>#REF!</v>
      </c>
      <c r="H200" s="106" t="e">
        <f>H201-#REF!</f>
        <v>#REF!</v>
      </c>
      <c r="I200" s="106" t="e">
        <f>I201-#REF!</f>
        <v>#REF!</v>
      </c>
    </row>
    <row r="201" spans="3:9" hidden="1">
      <c r="C201" s="41" t="s">
        <v>212</v>
      </c>
      <c r="D201" s="125">
        <v>11945</v>
      </c>
      <c r="E201" s="125">
        <v>13044</v>
      </c>
      <c r="F201" s="125">
        <v>12972</v>
      </c>
      <c r="G201" s="126">
        <f>G154*G202</f>
        <v>12658.490036563799</v>
      </c>
      <c r="H201" s="126">
        <f>H154*H202</f>
        <v>12854.668091976657</v>
      </c>
      <c r="I201" s="126">
        <f>I154*I202</f>
        <v>13245.561428550518</v>
      </c>
    </row>
    <row r="202" spans="3:9" hidden="1">
      <c r="C202" s="13" t="s">
        <v>214</v>
      </c>
      <c r="D202" s="11">
        <f>D201/D154</f>
        <v>15.696452036793692</v>
      </c>
      <c r="E202" s="11">
        <f>E201/E154</f>
        <v>16.723076923076924</v>
      </c>
      <c r="F202" s="11">
        <f>F201/F154</f>
        <v>17.342245989304814</v>
      </c>
      <c r="G202" s="99">
        <f>AVERAGE(E202:F202)+3%</f>
        <v>17.06266145619087</v>
      </c>
      <c r="H202" s="99">
        <f>AVERAGE(F202:G202)+2%</f>
        <v>17.22245372274784</v>
      </c>
      <c r="I202" s="99">
        <f>AVERAGE(G202:H202)+1%</f>
        <v>17.152557589469357</v>
      </c>
    </row>
    <row r="203" spans="3:9" hidden="1">
      <c r="C203" s="13" t="s">
        <v>215</v>
      </c>
      <c r="D203" s="11" t="e">
        <f>D200/D151</f>
        <v>#REF!</v>
      </c>
      <c r="E203" s="11" t="e">
        <f>E200/E151</f>
        <v>#REF!</v>
      </c>
      <c r="F203" s="11" t="e">
        <f>F200/F151</f>
        <v>#REF!</v>
      </c>
      <c r="G203" s="99" t="e">
        <f>AVERAGE(E203:F203)</f>
        <v>#REF!</v>
      </c>
      <c r="H203" s="99" t="e">
        <f>AVERAGE(F203:G203)</f>
        <v>#REF!</v>
      </c>
      <c r="I203" s="99" t="e">
        <f>AVERAGE(G203:H203)</f>
        <v>#REF!</v>
      </c>
    </row>
    <row r="204" spans="3:9" ht="15.75" hidden="1" thickBot="1">
      <c r="C204" s="38" t="s">
        <v>213</v>
      </c>
      <c r="D204" s="48">
        <f t="shared" ref="D204:I204" si="18">D154-D201</f>
        <v>-11184</v>
      </c>
      <c r="E204" s="48">
        <f t="shared" si="18"/>
        <v>-12264</v>
      </c>
      <c r="F204" s="48">
        <f t="shared" si="18"/>
        <v>-12224</v>
      </c>
      <c r="G204" s="124">
        <f t="shared" si="18"/>
        <v>-11916.607530773888</v>
      </c>
      <c r="H204" s="124">
        <f t="shared" si="18"/>
        <v>-12108.278042166397</v>
      </c>
      <c r="I204" s="124">
        <f t="shared" si="18"/>
        <v>-12473.34064692886</v>
      </c>
    </row>
    <row r="205" spans="3:9" hidden="1"/>
  </sheetData>
  <mergeCells count="5">
    <mergeCell ref="B2:C2"/>
    <mergeCell ref="B4:C4"/>
    <mergeCell ref="D5:F5"/>
    <mergeCell ref="G5:I5"/>
    <mergeCell ref="B6:C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126"/>
  <sheetViews>
    <sheetView showGridLines="0" zoomScale="96" zoomScaleNormal="96" workbookViewId="0">
      <selection activeCell="E4" sqref="E4"/>
    </sheetView>
  </sheetViews>
  <sheetFormatPr defaultColWidth="0" defaultRowHeight="15" zeroHeight="1"/>
  <cols>
    <col min="1" max="1" width="3.7109375" style="2" customWidth="1"/>
    <col min="2" max="2" width="9.140625" style="13" customWidth="1"/>
    <col min="3" max="3" width="42.28515625" style="13" customWidth="1"/>
    <col min="4" max="11" width="10.7109375" style="13" customWidth="1"/>
    <col min="12" max="12" width="3.7109375" style="2" customWidth="1"/>
    <col min="13" max="14" width="0" style="13" hidden="1" customWidth="1"/>
    <col min="15" max="16384" width="9.140625" style="13" hidden="1"/>
  </cols>
  <sheetData>
    <row r="1" spans="2:14" s="2" customFormat="1" ht="15" customHeight="1"/>
    <row r="2" spans="2:14" ht="17.25">
      <c r="B2" s="58" t="str">
        <f>Company_Name</f>
        <v>Volkswagen Aktiengesellschaft</v>
      </c>
      <c r="C2" s="58"/>
      <c r="D2" s="59"/>
      <c r="E2" s="59"/>
      <c r="F2" s="59"/>
      <c r="G2" s="59"/>
      <c r="H2" s="59"/>
      <c r="I2" s="59"/>
      <c r="J2" s="59"/>
      <c r="K2" s="59"/>
    </row>
    <row r="3" spans="2:14">
      <c r="B3" s="60" t="s">
        <v>146</v>
      </c>
      <c r="C3" s="59"/>
      <c r="D3" s="59"/>
      <c r="E3" s="59"/>
      <c r="F3" s="59"/>
      <c r="G3" s="59"/>
      <c r="H3" s="59"/>
      <c r="I3" s="59"/>
      <c r="J3" s="59"/>
      <c r="K3" s="59"/>
    </row>
    <row r="4" spans="2:14">
      <c r="B4" s="61"/>
      <c r="C4" s="61"/>
      <c r="D4" s="59"/>
      <c r="E4" s="59"/>
      <c r="F4" s="59"/>
      <c r="G4" s="59"/>
      <c r="H4" s="59"/>
      <c r="I4" s="59"/>
      <c r="J4" s="59"/>
      <c r="K4" s="59"/>
    </row>
    <row r="5" spans="2:14">
      <c r="B5" s="59"/>
      <c r="C5" s="59"/>
      <c r="D5" s="196" t="s">
        <v>4</v>
      </c>
      <c r="E5" s="196"/>
      <c r="F5" s="196"/>
      <c r="G5" s="196"/>
      <c r="H5" s="196"/>
      <c r="I5" s="195" t="s">
        <v>17</v>
      </c>
      <c r="J5" s="195"/>
      <c r="K5" s="195"/>
    </row>
    <row r="6" spans="2:14" ht="18" customHeight="1">
      <c r="B6" s="62" t="str">
        <f>Currency</f>
        <v>€ million</v>
      </c>
      <c r="C6" s="62"/>
      <c r="D6" s="63">
        <f>EDATE(E6,-12)</f>
        <v>41639</v>
      </c>
      <c r="E6" s="63">
        <f>EDATE(F6,-12)</f>
        <v>42004</v>
      </c>
      <c r="F6" s="63">
        <f>EDATE(G6,-12)</f>
        <v>42369</v>
      </c>
      <c r="G6" s="63">
        <f>EDATE(H6, -12)</f>
        <v>42735</v>
      </c>
      <c r="H6" s="63">
        <f>Last_Financial_Period</f>
        <v>43100</v>
      </c>
      <c r="I6" s="64">
        <f>EDATE(H6,12)</f>
        <v>43465</v>
      </c>
      <c r="J6" s="64">
        <f>EDATE(I6,12)</f>
        <v>43830</v>
      </c>
      <c r="K6" s="64">
        <f>EDATE(J6,12)</f>
        <v>44196</v>
      </c>
      <c r="L6" s="3"/>
      <c r="M6" s="1"/>
      <c r="N6" s="1"/>
    </row>
    <row r="7" spans="2:14">
      <c r="I7" s="10"/>
      <c r="J7" s="10"/>
      <c r="K7" s="10"/>
    </row>
    <row r="8" spans="2:14">
      <c r="C8" s="89" t="s">
        <v>105</v>
      </c>
      <c r="D8" s="90">
        <v>17794</v>
      </c>
      <c r="E8" s="90">
        <v>22009</v>
      </c>
      <c r="F8" s="90">
        <v>18634</v>
      </c>
      <c r="G8" s="90">
        <v>20462</v>
      </c>
      <c r="H8" s="90">
        <v>18833</v>
      </c>
      <c r="I8" s="123">
        <f>H46</f>
        <v>18038</v>
      </c>
      <c r="J8" s="123">
        <f>I46</f>
        <v>24942.459798960612</v>
      </c>
      <c r="K8" s="123">
        <f>J46</f>
        <v>20667.415970880662</v>
      </c>
    </row>
    <row r="9" spans="2:14">
      <c r="C9" s="88" t="s">
        <v>48</v>
      </c>
      <c r="D9" s="83">
        <v>12428</v>
      </c>
      <c r="E9" s="83">
        <v>14794</v>
      </c>
      <c r="F9" s="83">
        <v>-1301</v>
      </c>
      <c r="G9" s="83">
        <v>7292</v>
      </c>
      <c r="H9" s="83">
        <v>13913</v>
      </c>
      <c r="I9" s="100">
        <f>'Income Statement'!I21</f>
        <v>14839.227487895994</v>
      </c>
      <c r="J9" s="100">
        <f>'Income Statement'!J21</f>
        <v>19847.065059051722</v>
      </c>
      <c r="K9" s="100">
        <f>'Income Statement'!K21</f>
        <v>21661.557780994866</v>
      </c>
    </row>
    <row r="10" spans="2:14">
      <c r="C10" s="88" t="s">
        <v>106</v>
      </c>
      <c r="D10" s="83">
        <v>-3107</v>
      </c>
      <c r="E10" s="83">
        <v>-4040</v>
      </c>
      <c r="F10" s="83">
        <v>-3238</v>
      </c>
      <c r="G10" s="83">
        <v>-3315</v>
      </c>
      <c r="H10" s="83">
        <v>-3664</v>
      </c>
      <c r="I10" s="106">
        <f>'Income Statement'!I22</f>
        <v>-3158.6875516157475</v>
      </c>
      <c r="J10" s="106">
        <f>'Income Statement'!J22</f>
        <v>-3734.9872410212392</v>
      </c>
      <c r="K10" s="106">
        <f>'Income Statement'!K22</f>
        <v>-4343.67344655745</v>
      </c>
    </row>
    <row r="11" spans="2:14">
      <c r="C11" s="88" t="s">
        <v>107</v>
      </c>
      <c r="D11" s="83">
        <v>8007</v>
      </c>
      <c r="E11" s="83">
        <v>8761</v>
      </c>
      <c r="F11" s="83">
        <v>9743</v>
      </c>
      <c r="G11" s="83">
        <v>10100</v>
      </c>
      <c r="H11" s="83">
        <v>10562</v>
      </c>
      <c r="I11" s="106">
        <f>FAM!G171</f>
        <v>6705.7578687457863</v>
      </c>
      <c r="J11" s="106">
        <f>FAM!H171</f>
        <v>5228.7455852733083</v>
      </c>
      <c r="K11" s="106">
        <f>FAM!I171</f>
        <v>6813.5707253807714</v>
      </c>
    </row>
    <row r="12" spans="2:14">
      <c r="C12" s="88" t="s">
        <v>108</v>
      </c>
      <c r="D12" s="83">
        <v>2464</v>
      </c>
      <c r="E12" s="83">
        <v>3006</v>
      </c>
      <c r="F12" s="83">
        <v>3262</v>
      </c>
      <c r="G12" s="83">
        <v>3586</v>
      </c>
      <c r="H12" s="83">
        <v>3734</v>
      </c>
      <c r="I12" s="10"/>
      <c r="J12" s="10"/>
      <c r="K12" s="10"/>
    </row>
    <row r="13" spans="2:14">
      <c r="C13" s="88" t="s">
        <v>109</v>
      </c>
      <c r="D13" s="84">
        <v>36</v>
      </c>
      <c r="E13" s="84">
        <v>172</v>
      </c>
      <c r="F13" s="84">
        <v>37</v>
      </c>
      <c r="G13" s="84">
        <v>130</v>
      </c>
      <c r="H13" s="84">
        <v>136</v>
      </c>
      <c r="I13" s="10"/>
      <c r="J13" s="10"/>
      <c r="K13" s="10"/>
    </row>
    <row r="14" spans="2:14">
      <c r="C14" s="88" t="s">
        <v>110</v>
      </c>
      <c r="D14" s="83">
        <v>4179</v>
      </c>
      <c r="E14" s="83">
        <v>5024</v>
      </c>
      <c r="F14" s="83">
        <v>6651</v>
      </c>
      <c r="G14" s="83">
        <v>7107</v>
      </c>
      <c r="H14" s="83">
        <v>7734</v>
      </c>
      <c r="I14" s="106"/>
      <c r="J14" s="106"/>
      <c r="K14" s="106"/>
    </row>
    <row r="15" spans="2:14">
      <c r="C15" s="88" t="s">
        <v>111</v>
      </c>
      <c r="D15" s="84">
        <v>-35</v>
      </c>
      <c r="E15" s="84">
        <v>-153</v>
      </c>
      <c r="F15" s="83">
        <v>-1581</v>
      </c>
      <c r="G15" s="84">
        <v>-222</v>
      </c>
      <c r="H15" s="84">
        <v>-25</v>
      </c>
      <c r="I15" s="10"/>
      <c r="J15" s="10"/>
      <c r="K15" s="10"/>
    </row>
    <row r="16" spans="2:14">
      <c r="C16" s="88" t="s">
        <v>46</v>
      </c>
      <c r="D16" s="84">
        <v>-759</v>
      </c>
      <c r="E16" s="84">
        <v>-990</v>
      </c>
      <c r="F16" s="84">
        <v>297</v>
      </c>
      <c r="G16" s="84">
        <v>377</v>
      </c>
      <c r="H16" s="84">
        <v>274</v>
      </c>
      <c r="I16" s="10"/>
      <c r="J16" s="10"/>
      <c r="K16" s="10"/>
    </row>
    <row r="17" spans="3:11">
      <c r="C17" s="88" t="s">
        <v>112</v>
      </c>
      <c r="D17" s="83">
        <v>1012</v>
      </c>
      <c r="E17" s="84">
        <v>-174</v>
      </c>
      <c r="F17" s="83">
        <v>2102</v>
      </c>
      <c r="G17" s="84">
        <v>716</v>
      </c>
      <c r="H17" s="84">
        <v>-480</v>
      </c>
      <c r="I17" s="10"/>
      <c r="J17" s="10"/>
      <c r="K17" s="10"/>
    </row>
    <row r="18" spans="3:11">
      <c r="C18" s="88" t="s">
        <v>113</v>
      </c>
      <c r="D18" s="83">
        <v>-1021</v>
      </c>
      <c r="E18" s="83">
        <v>-2214</v>
      </c>
      <c r="F18" s="83">
        <v>-3149</v>
      </c>
      <c r="G18" s="83">
        <v>-3637</v>
      </c>
      <c r="H18" s="83">
        <v>-4198</v>
      </c>
      <c r="I18" s="106">
        <f>'Balance Sheet'!H23-'Balance Sheet'!I23</f>
        <v>-5198.858242334536</v>
      </c>
      <c r="J18" s="106">
        <f>'Balance Sheet'!I23-'Balance Sheet'!J23</f>
        <v>-4842.0555386974229</v>
      </c>
      <c r="K18" s="106">
        <f>'Balance Sheet'!J23-'Balance Sheet'!K23</f>
        <v>-6454.0594018050906</v>
      </c>
    </row>
    <row r="19" spans="3:11">
      <c r="C19" s="88" t="s">
        <v>114</v>
      </c>
      <c r="D19" s="83">
        <v>-1651</v>
      </c>
      <c r="E19" s="83">
        <v>-1433</v>
      </c>
      <c r="F19" s="83">
        <v>-1807</v>
      </c>
      <c r="G19" s="83">
        <v>-2155</v>
      </c>
      <c r="H19" s="83">
        <v>-1660</v>
      </c>
      <c r="I19" s="106">
        <f>('Balance Sheet'!H18-'Balance Sheet'!I18)+('Balance Sheet'!H19-'Balance Sheet'!I19)+('Balance Sheet'!H24-'Balance Sheet'!I24)+('Balance Sheet'!H27-'Balance Sheet'!I27)+('Balance Sheet'!H28-'Balance Sheet'!I28)</f>
        <v>-3107.224840806769</v>
      </c>
      <c r="J19" s="106">
        <f>('Balance Sheet'!I18-'Balance Sheet'!J18)+('Balance Sheet'!I19-'Balance Sheet'!J19)+('Balance Sheet'!I24-'Balance Sheet'!J24)+('Balance Sheet'!I27-'Balance Sheet'!J27)+('Balance Sheet'!I28-'Balance Sheet'!J28)</f>
        <v>-1724.6745588111573</v>
      </c>
      <c r="K19" s="106">
        <f>('Balance Sheet'!J18-'Balance Sheet'!K18)+('Balance Sheet'!J19-'Balance Sheet'!K19)+('Balance Sheet'!J24-'Balance Sheet'!K24)+('Balance Sheet'!J27-'Balance Sheet'!K27)+('Balance Sheet'!J28-'Balance Sheet'!K28)</f>
        <v>-3106.6904309637912</v>
      </c>
    </row>
    <row r="20" spans="3:11">
      <c r="C20" s="88" t="s">
        <v>115</v>
      </c>
      <c r="D20" s="83">
        <v>2363</v>
      </c>
      <c r="E20" s="83">
        <v>4764</v>
      </c>
      <c r="F20" s="83">
        <v>2807</v>
      </c>
      <c r="G20" s="83">
        <v>5048</v>
      </c>
      <c r="H20" s="83">
        <v>5302</v>
      </c>
      <c r="I20" s="106">
        <f>('Balance Sheet'!I49-'Balance Sheet'!H49)+('Balance Sheet'!I50-'Balance Sheet'!H50)+('Balance Sheet'!I61-'Balance Sheet'!H61)+('Balance Sheet'!I58-'Balance Sheet'!H58)+('Balance Sheet'!I59-'Balance Sheet'!H59)</f>
        <v>3799.710140583863</v>
      </c>
      <c r="J20" s="106">
        <f>('Balance Sheet'!J49-'Balance Sheet'!I49)+('Balance Sheet'!J50-'Balance Sheet'!I50)+('Balance Sheet'!J61-'Balance Sheet'!I61)+('Balance Sheet'!J58-'Balance Sheet'!I58)+('Balance Sheet'!J59-'Balance Sheet'!I59)</f>
        <v>1079.3007740382791</v>
      </c>
      <c r="K20" s="106">
        <f>('Balance Sheet'!K49-'Balance Sheet'!J49)+('Balance Sheet'!K50-'Balance Sheet'!J50)+('Balance Sheet'!K61-'Balance Sheet'!J61)+('Balance Sheet'!K58-'Balance Sheet'!J58)+('Balance Sheet'!K59-'Balance Sheet'!J59)</f>
        <v>3410.2800421472557</v>
      </c>
    </row>
    <row r="21" spans="3:11">
      <c r="C21" s="88" t="s">
        <v>116</v>
      </c>
      <c r="D21" s="83">
        <v>2479</v>
      </c>
      <c r="E21" s="84">
        <v>562</v>
      </c>
      <c r="F21" s="83">
        <v>18329</v>
      </c>
      <c r="G21" s="83">
        <v>5966</v>
      </c>
      <c r="H21" s="83">
        <v>-9443</v>
      </c>
      <c r="I21" s="106">
        <f>('Balance Sheet'!I51-'Balance Sheet'!H51)+('Balance Sheet'!I52-'Balance Sheet'!H52)+('Balance Sheet'!I53-'Balance Sheet'!H53)+('Balance Sheet'!I62-'Balance Sheet'!H62)+('Balance Sheet'!I63-'Balance Sheet'!H63)</f>
        <v>588.85000000000014</v>
      </c>
      <c r="J21" s="106">
        <f>('Balance Sheet'!J51-'Balance Sheet'!I51)+('Balance Sheet'!J52-'Balance Sheet'!I52)+('Balance Sheet'!J53-'Balance Sheet'!I53)+('Balance Sheet'!J62-'Balance Sheet'!I62)+('Balance Sheet'!J63-'Balance Sheet'!I63)</f>
        <v>73.342499999999973</v>
      </c>
      <c r="K21" s="106">
        <f>('Balance Sheet'!K51-'Balance Sheet'!J51)+('Balance Sheet'!K52-'Balance Sheet'!J52)+('Balance Sheet'!K53-'Balance Sheet'!J53)+('Balance Sheet'!K62-'Balance Sheet'!J62)+('Balance Sheet'!K63-'Balance Sheet'!J63)</f>
        <v>77.009625000000142</v>
      </c>
    </row>
    <row r="22" spans="3:11">
      <c r="C22" s="88" t="s">
        <v>117</v>
      </c>
      <c r="D22" s="83">
        <v>-7112</v>
      </c>
      <c r="E22" s="83">
        <v>-8487</v>
      </c>
      <c r="F22" s="83">
        <v>-10808</v>
      </c>
      <c r="G22" s="83">
        <v>-12074</v>
      </c>
      <c r="H22" s="83">
        <v>-11478</v>
      </c>
      <c r="I22" s="106"/>
      <c r="J22" s="106"/>
      <c r="K22" s="106"/>
    </row>
    <row r="23" spans="3:11">
      <c r="C23" s="88" t="s">
        <v>118</v>
      </c>
      <c r="D23" s="83">
        <v>-6688</v>
      </c>
      <c r="E23" s="83">
        <v>-8807</v>
      </c>
      <c r="F23" s="83">
        <v>-7663</v>
      </c>
      <c r="G23" s="83">
        <v>-9490</v>
      </c>
      <c r="H23" s="83">
        <v>-11891</v>
      </c>
      <c r="I23" s="106">
        <f>('Balance Sheet'!H16-'Balance Sheet'!I16)+('Balance Sheet'!H25-'Balance Sheet'!I25)</f>
        <v>-4545.6105745921377</v>
      </c>
      <c r="J23" s="106">
        <f>('Balance Sheet'!I16-'Balance Sheet'!J16)+('Balance Sheet'!I25-'Balance Sheet'!J25)</f>
        <v>-8991.8661274080805</v>
      </c>
      <c r="K23" s="106">
        <f>('Balance Sheet'!J16-'Balance Sheet'!K16)+('Balance Sheet'!J25-'Balance Sheet'!K25)</f>
        <v>-9522.648952737567</v>
      </c>
    </row>
    <row r="24" spans="3:11">
      <c r="C24" s="94" t="s">
        <v>119</v>
      </c>
      <c r="D24" s="95">
        <v>12595</v>
      </c>
      <c r="E24" s="95">
        <v>10784</v>
      </c>
      <c r="F24" s="95">
        <v>13679</v>
      </c>
      <c r="G24" s="95">
        <v>9430</v>
      </c>
      <c r="H24" s="95">
        <v>-1185</v>
      </c>
      <c r="I24" s="101">
        <f>SUM(I9:I23)</f>
        <v>9923.164287876456</v>
      </c>
      <c r="J24" s="101">
        <f>SUM(J9:J23)</f>
        <v>6934.8704524254117</v>
      </c>
      <c r="K24" s="101">
        <f>SUM(K9:K23)</f>
        <v>8535.3459414589961</v>
      </c>
    </row>
    <row r="25" spans="3:11">
      <c r="C25" s="88" t="s">
        <v>120</v>
      </c>
      <c r="D25" s="83">
        <v>-11385</v>
      </c>
      <c r="E25" s="83">
        <v>-12012</v>
      </c>
      <c r="F25" s="83">
        <v>-13213</v>
      </c>
      <c r="G25" s="83">
        <v>-13152</v>
      </c>
      <c r="H25" s="83">
        <v>-13052</v>
      </c>
      <c r="I25" s="106">
        <f>-FAM!G168</f>
        <v>-12581.127552010637</v>
      </c>
      <c r="J25" s="106">
        <f>-FAM!H168</f>
        <v>-12353.156257816625</v>
      </c>
      <c r="K25" s="106">
        <f>-FAM!I168</f>
        <v>-14510.805279909388</v>
      </c>
    </row>
    <row r="26" spans="3:11">
      <c r="C26" s="88" t="s">
        <v>121</v>
      </c>
      <c r="D26" s="83">
        <v>-4021</v>
      </c>
      <c r="E26" s="83">
        <v>-4601</v>
      </c>
      <c r="F26" s="83">
        <v>-5021</v>
      </c>
      <c r="G26" s="83">
        <v>-5750</v>
      </c>
      <c r="H26" s="83">
        <v>-5260</v>
      </c>
      <c r="I26" s="10"/>
      <c r="J26" s="10"/>
      <c r="K26" s="10"/>
    </row>
    <row r="27" spans="3:11">
      <c r="C27" s="88" t="s">
        <v>122</v>
      </c>
      <c r="D27" s="84">
        <v>-80</v>
      </c>
      <c r="E27" s="84">
        <v>-83</v>
      </c>
      <c r="F27" s="84">
        <v>-179</v>
      </c>
      <c r="G27" s="84">
        <v>-119</v>
      </c>
      <c r="H27" s="84">
        <v>-277</v>
      </c>
      <c r="I27" s="10"/>
      <c r="J27" s="10"/>
      <c r="K27" s="10"/>
    </row>
    <row r="28" spans="3:11">
      <c r="C28" s="88" t="s">
        <v>123</v>
      </c>
      <c r="D28" s="84">
        <v>-94</v>
      </c>
      <c r="E28" s="84">
        <v>-195</v>
      </c>
      <c r="F28" s="84">
        <v>-817</v>
      </c>
      <c r="G28" s="84">
        <v>-309</v>
      </c>
      <c r="H28" s="84">
        <v>-561</v>
      </c>
      <c r="I28" s="106">
        <f>('Balance Sheet'!H14-'Balance Sheet'!I14)+('Balance Sheet'!H15-'Balance Sheet'!I15)</f>
        <v>-13.180000000000064</v>
      </c>
      <c r="J28" s="106">
        <f>('Balance Sheet'!I14-'Balance Sheet'!J14)+('Balance Sheet'!I15-'Balance Sheet'!J15)</f>
        <v>-13.311799999999948</v>
      </c>
      <c r="K28" s="106">
        <f>('Balance Sheet'!J14-'Balance Sheet'!K14)+('Balance Sheet'!J15-'Balance Sheet'!K15)</f>
        <v>-13.444917999999916</v>
      </c>
    </row>
    <row r="29" spans="3:11">
      <c r="C29" s="88" t="s">
        <v>124</v>
      </c>
      <c r="D29" s="84">
        <v>0</v>
      </c>
      <c r="E29" s="84">
        <v>6</v>
      </c>
      <c r="F29" s="84">
        <v>0</v>
      </c>
      <c r="G29" s="84">
        <v>-7</v>
      </c>
      <c r="H29" s="84">
        <v>496</v>
      </c>
      <c r="I29" s="10"/>
      <c r="J29" s="10"/>
      <c r="K29" s="10"/>
    </row>
    <row r="30" spans="3:11">
      <c r="C30" s="88" t="s">
        <v>125</v>
      </c>
      <c r="D30" s="84">
        <v>23</v>
      </c>
      <c r="E30" s="84">
        <v>31</v>
      </c>
      <c r="F30" s="83">
        <v>3173</v>
      </c>
      <c r="G30" s="83">
        <v>2190</v>
      </c>
      <c r="H30" s="84">
        <v>24</v>
      </c>
      <c r="I30" s="10"/>
      <c r="J30" s="10"/>
      <c r="K30" s="10"/>
    </row>
    <row r="31" spans="3:11">
      <c r="C31" s="88" t="s">
        <v>126</v>
      </c>
      <c r="D31" s="84">
        <v>622</v>
      </c>
      <c r="E31" s="84">
        <v>403</v>
      </c>
      <c r="F31" s="84">
        <v>533</v>
      </c>
      <c r="G31" s="84">
        <v>351</v>
      </c>
      <c r="H31" s="84">
        <v>411</v>
      </c>
      <c r="I31" s="106">
        <f>'Balance Sheet'!H31-'Balance Sheet'!I31</f>
        <v>115</v>
      </c>
      <c r="J31" s="106">
        <f>'Balance Sheet'!I31-'Balance Sheet'!J31</f>
        <v>0</v>
      </c>
      <c r="K31" s="106">
        <f>'Balance Sheet'!J31-'Balance Sheet'!K31</f>
        <v>0</v>
      </c>
    </row>
    <row r="32" spans="3:11">
      <c r="C32" s="88" t="s">
        <v>127</v>
      </c>
      <c r="D32" s="84">
        <v>-810</v>
      </c>
      <c r="E32" s="83">
        <v>-2154</v>
      </c>
      <c r="F32" s="83">
        <v>-3916</v>
      </c>
      <c r="G32" s="83">
        <v>-1245</v>
      </c>
      <c r="H32" s="83">
        <v>1376</v>
      </c>
      <c r="I32" s="106">
        <f>'Balance Sheet'!H29-'Balance Sheet'!I29</f>
        <v>-802</v>
      </c>
      <c r="J32" s="106">
        <f>'Balance Sheet'!I29-'Balance Sheet'!J29</f>
        <v>0</v>
      </c>
      <c r="K32" s="106">
        <f>'Balance Sheet'!J29-'Balance Sheet'!K29</f>
        <v>0</v>
      </c>
    </row>
    <row r="33" spans="3:11">
      <c r="C33" s="88" t="s">
        <v>128</v>
      </c>
      <c r="D33" s="83">
        <v>-1144</v>
      </c>
      <c r="E33" s="84">
        <v>-492</v>
      </c>
      <c r="F33" s="83">
        <v>-1711</v>
      </c>
      <c r="G33" s="83">
        <v>-2638</v>
      </c>
      <c r="H33" s="84">
        <v>335</v>
      </c>
      <c r="I33" s="106">
        <f>('Balance Sheet'!H17-'Balance Sheet'!I17)+('Balance Sheet'!H26-'Balance Sheet'!I26)+422</f>
        <v>-827.11693690520951</v>
      </c>
      <c r="J33" s="106">
        <f>('Balance Sheet'!I17-'Balance Sheet'!J17)+('Balance Sheet'!I26-'Balance Sheet'!J26)</f>
        <v>-942.37062268873524</v>
      </c>
      <c r="K33" s="106">
        <f>('Balance Sheet'!J17-'Balance Sheet'!K17)+('Balance Sheet'!J26-'Balance Sheet'!K26)</f>
        <v>-1432.0752036928188</v>
      </c>
    </row>
    <row r="34" spans="3:11">
      <c r="C34" s="94" t="s">
        <v>129</v>
      </c>
      <c r="D34" s="95">
        <v>-16890</v>
      </c>
      <c r="E34" s="95">
        <v>-19099</v>
      </c>
      <c r="F34" s="95">
        <v>-21151</v>
      </c>
      <c r="G34" s="95">
        <v>-20679</v>
      </c>
      <c r="H34" s="95">
        <v>-16508</v>
      </c>
      <c r="I34" s="114">
        <f>SUM(I25:I33)</f>
        <v>-14108.424488915847</v>
      </c>
      <c r="J34" s="114">
        <f>SUM(J25:J33)</f>
        <v>-13308.83868050536</v>
      </c>
      <c r="K34" s="114">
        <f>SUM(K25:K33)</f>
        <v>-15956.325401602206</v>
      </c>
    </row>
    <row r="35" spans="3:11">
      <c r="C35" s="88" t="s">
        <v>130</v>
      </c>
      <c r="D35" s="83">
        <v>3067</v>
      </c>
      <c r="E35" s="83">
        <v>4932</v>
      </c>
      <c r="F35" s="83">
        <v>2457</v>
      </c>
      <c r="G35" s="85" t="s">
        <v>84</v>
      </c>
      <c r="H35" s="83">
        <v>3473</v>
      </c>
      <c r="I35" s="106">
        <f>'Balance Sheet'!I42-'Balance Sheet'!H42</f>
        <v>1477</v>
      </c>
      <c r="J35" s="106">
        <f>'Balance Sheet'!J42-'Balance Sheet'!I42</f>
        <v>0</v>
      </c>
      <c r="K35" s="106">
        <f>'Balance Sheet'!K42-'Balance Sheet'!J42</f>
        <v>0</v>
      </c>
    </row>
    <row r="36" spans="3:11">
      <c r="C36" s="88" t="s">
        <v>131</v>
      </c>
      <c r="D36" s="83">
        <v>-1849</v>
      </c>
      <c r="E36" s="83">
        <v>-1962</v>
      </c>
      <c r="F36" s="83">
        <v>-2516</v>
      </c>
      <c r="G36" s="84">
        <v>-364</v>
      </c>
      <c r="H36" s="83">
        <v>-1332</v>
      </c>
      <c r="I36" s="10">
        <v>-2334</v>
      </c>
      <c r="J36" s="10"/>
      <c r="K36" s="10"/>
    </row>
    <row r="37" spans="3:11">
      <c r="C37" s="88" t="s">
        <v>132</v>
      </c>
      <c r="D37" s="84">
        <v>0</v>
      </c>
      <c r="E37" s="83">
        <v>-6535</v>
      </c>
      <c r="F37" s="84">
        <v>0</v>
      </c>
      <c r="G37" s="84">
        <v>-3</v>
      </c>
      <c r="H37" s="85" t="s">
        <v>84</v>
      </c>
      <c r="I37" s="106">
        <f>('Balance Sheet'!I56-'Balance Sheet'!H56)+('Balance Sheet'!I44-'Balance Sheet'!H44)</f>
        <v>-349</v>
      </c>
      <c r="J37" s="106">
        <f>('Balance Sheet'!J56-'Balance Sheet'!I56)+('Balance Sheet'!J44-'Balance Sheet'!I44)</f>
        <v>0</v>
      </c>
      <c r="K37" s="106">
        <f>('Balance Sheet'!K56-'Balance Sheet'!J56)+('Balance Sheet'!K44-'Balance Sheet'!J44)</f>
        <v>0</v>
      </c>
    </row>
    <row r="38" spans="3:11">
      <c r="C38" s="88" t="s">
        <v>145</v>
      </c>
      <c r="D38" s="84">
        <v>-21</v>
      </c>
      <c r="E38" s="84">
        <v>15</v>
      </c>
      <c r="F38" s="84">
        <v>13</v>
      </c>
      <c r="G38" s="85" t="s">
        <v>84</v>
      </c>
      <c r="H38" s="85" t="s">
        <v>84</v>
      </c>
      <c r="I38" s="10"/>
      <c r="J38" s="10"/>
      <c r="K38" s="10"/>
    </row>
    <row r="39" spans="3:11">
      <c r="C39" s="88" t="s">
        <v>133</v>
      </c>
      <c r="D39" s="83">
        <v>22118</v>
      </c>
      <c r="E39" s="83">
        <v>25608</v>
      </c>
      <c r="F39" s="83">
        <v>22533</v>
      </c>
      <c r="G39" s="83">
        <v>14262</v>
      </c>
      <c r="H39" s="83">
        <v>30279</v>
      </c>
      <c r="I39" s="106">
        <f>('Balance Sheet'!I47-'Balance Sheet'!H47)+('Balance Sheet'!I57-'Balance Sheet'!H57)</f>
        <v>11438.720000000001</v>
      </c>
      <c r="J39" s="106">
        <f>('Balance Sheet'!J47-'Balance Sheet'!I47)+('Balance Sheet'!J57-'Balance Sheet'!I57)</f>
        <v>1627.5743999999977</v>
      </c>
      <c r="K39" s="106">
        <f>('Balance Sheet'!K47-'Balance Sheet'!J47)+('Balance Sheet'!K57-'Balance Sheet'!J57)</f>
        <v>4511.6505000000034</v>
      </c>
    </row>
    <row r="40" spans="3:11">
      <c r="C40" s="88" t="s">
        <v>134</v>
      </c>
      <c r="D40" s="83">
        <v>-14614</v>
      </c>
      <c r="E40" s="83">
        <v>-21748</v>
      </c>
      <c r="F40" s="83">
        <v>-23755</v>
      </c>
      <c r="G40" s="83">
        <v>-23601</v>
      </c>
      <c r="H40" s="83">
        <v>-17877</v>
      </c>
      <c r="I40" s="10"/>
      <c r="J40" s="10"/>
      <c r="K40" s="10"/>
    </row>
    <row r="41" spans="3:11">
      <c r="C41" s="88" t="s">
        <v>135</v>
      </c>
      <c r="D41" s="84">
        <v>285</v>
      </c>
      <c r="E41" s="83">
        <v>4352</v>
      </c>
      <c r="F41" s="83">
        <v>10360</v>
      </c>
      <c r="G41" s="83">
        <v>19455</v>
      </c>
      <c r="H41" s="83">
        <v>3109</v>
      </c>
      <c r="I41" s="106">
        <f>('Balance Sheet'!I48-'Balance Sheet'!H48)+('Balance Sheet'!I60-'Balance Sheet'!H60)</f>
        <v>857</v>
      </c>
      <c r="J41" s="106">
        <f>('Balance Sheet'!J48-'Balance Sheet'!I48)+('Balance Sheet'!J60-'Balance Sheet'!I60)</f>
        <v>471.35000000000036</v>
      </c>
      <c r="K41" s="106">
        <f>('Balance Sheet'!K48-'Balance Sheet'!J48)+('Balance Sheet'!K60-'Balance Sheet'!J60)</f>
        <v>494.91749999999956</v>
      </c>
    </row>
    <row r="42" spans="3:11">
      <c r="C42" s="88" t="s">
        <v>136</v>
      </c>
      <c r="D42" s="84">
        <v>-14</v>
      </c>
      <c r="E42" s="84">
        <v>-17</v>
      </c>
      <c r="F42" s="84">
        <v>-23</v>
      </c>
      <c r="G42" s="84">
        <v>-36</v>
      </c>
      <c r="H42" s="84">
        <v>-28</v>
      </c>
      <c r="I42" s="10"/>
      <c r="J42" s="10"/>
      <c r="K42" s="10"/>
    </row>
    <row r="43" spans="3:11">
      <c r="C43" s="94" t="s">
        <v>137</v>
      </c>
      <c r="D43" s="95">
        <v>8973</v>
      </c>
      <c r="E43" s="95">
        <v>4645</v>
      </c>
      <c r="F43" s="95">
        <v>9068</v>
      </c>
      <c r="G43" s="95">
        <v>9712</v>
      </c>
      <c r="H43" s="95">
        <v>17625</v>
      </c>
      <c r="I43" s="114">
        <f>SUM(I35:I42)</f>
        <v>11089.720000000001</v>
      </c>
      <c r="J43" s="114">
        <f>SUM(J35:J42)</f>
        <v>2098.9243999999981</v>
      </c>
      <c r="K43" s="114">
        <f>SUM(K35:K42)</f>
        <v>5006.5680000000029</v>
      </c>
    </row>
    <row r="44" spans="3:11" ht="15.75" thickBot="1">
      <c r="C44" s="87" t="s">
        <v>138</v>
      </c>
      <c r="D44" s="84">
        <v>-462</v>
      </c>
      <c r="E44" s="84">
        <v>294</v>
      </c>
      <c r="F44" s="84">
        <v>232</v>
      </c>
      <c r="G44" s="84">
        <v>-91</v>
      </c>
      <c r="H44" s="84">
        <v>-727</v>
      </c>
      <c r="I44" s="10"/>
      <c r="J44" s="10"/>
      <c r="K44" s="10"/>
    </row>
    <row r="45" spans="3:11" ht="15.75" thickBot="1">
      <c r="C45" s="91" t="s">
        <v>139</v>
      </c>
      <c r="D45" s="92">
        <v>4216</v>
      </c>
      <c r="E45" s="92">
        <v>-3375</v>
      </c>
      <c r="F45" s="92">
        <v>1828</v>
      </c>
      <c r="G45" s="92">
        <v>-1628</v>
      </c>
      <c r="H45" s="93">
        <v>-796</v>
      </c>
      <c r="I45" s="121">
        <f>I24+I34+I43</f>
        <v>6904.45979896061</v>
      </c>
      <c r="J45" s="121">
        <f>J24+J34+J43</f>
        <v>-4275.0438280799499</v>
      </c>
      <c r="K45" s="122">
        <f>K24+K34+K43</f>
        <v>-2414.4114601432066</v>
      </c>
    </row>
    <row r="46" spans="3:11">
      <c r="C46" s="89" t="s">
        <v>140</v>
      </c>
      <c r="D46" s="90">
        <v>22009</v>
      </c>
      <c r="E46" s="90">
        <v>18634</v>
      </c>
      <c r="F46" s="90">
        <v>20462</v>
      </c>
      <c r="G46" s="90">
        <v>18833</v>
      </c>
      <c r="H46" s="90">
        <v>18038</v>
      </c>
      <c r="I46" s="123">
        <f>I8+I45</f>
        <v>24942.459798960612</v>
      </c>
      <c r="J46" s="123">
        <f>J8+J45</f>
        <v>20667.415970880662</v>
      </c>
      <c r="K46" s="123">
        <f>K8+K45</f>
        <v>18253.004510737454</v>
      </c>
    </row>
    <row r="47" spans="3:11">
      <c r="C47" s="80"/>
      <c r="D47" s="86"/>
      <c r="E47" s="86"/>
      <c r="F47" s="86"/>
      <c r="G47" s="86"/>
      <c r="H47" s="86"/>
      <c r="I47" s="10"/>
      <c r="J47" s="10"/>
      <c r="K47" s="10"/>
    </row>
    <row r="48" spans="3:11">
      <c r="C48" s="82" t="s">
        <v>140</v>
      </c>
      <c r="D48" s="83">
        <v>22009</v>
      </c>
      <c r="E48" s="83">
        <v>18634</v>
      </c>
      <c r="F48" s="83">
        <v>20462</v>
      </c>
      <c r="G48" s="83">
        <v>18833</v>
      </c>
      <c r="H48" s="83">
        <v>18038</v>
      </c>
      <c r="I48" s="72"/>
      <c r="J48" s="72"/>
      <c r="K48" s="72"/>
    </row>
    <row r="49" spans="3:11">
      <c r="C49" s="82" t="s">
        <v>141</v>
      </c>
      <c r="D49" s="83">
        <v>17177</v>
      </c>
      <c r="E49" s="83">
        <v>18893</v>
      </c>
      <c r="F49" s="83">
        <v>24613</v>
      </c>
      <c r="G49" s="83">
        <v>28036</v>
      </c>
      <c r="H49" s="83">
        <v>26291</v>
      </c>
      <c r="I49" s="10"/>
      <c r="J49" s="10"/>
      <c r="K49" s="10"/>
    </row>
    <row r="50" spans="3:11">
      <c r="C50" s="80" t="s">
        <v>142</v>
      </c>
      <c r="D50" s="81">
        <v>39186</v>
      </c>
      <c r="E50" s="81">
        <v>37527</v>
      </c>
      <c r="F50" s="81">
        <v>45075</v>
      </c>
      <c r="G50" s="81">
        <v>46869</v>
      </c>
      <c r="H50" s="81">
        <v>44329</v>
      </c>
      <c r="I50" s="10"/>
      <c r="J50" s="10"/>
      <c r="K50" s="10"/>
    </row>
    <row r="51" spans="3:11">
      <c r="C51" s="82" t="s">
        <v>143</v>
      </c>
      <c r="D51" s="83">
        <v>-121504</v>
      </c>
      <c r="E51" s="83">
        <v>-133980</v>
      </c>
      <c r="F51" s="83">
        <v>-145604</v>
      </c>
      <c r="G51" s="83">
        <v>-154819</v>
      </c>
      <c r="H51" s="83">
        <v>-163472</v>
      </c>
      <c r="I51" s="10"/>
      <c r="J51" s="10"/>
      <c r="K51" s="10"/>
    </row>
    <row r="52" spans="3:11">
      <c r="C52" s="80" t="s">
        <v>144</v>
      </c>
      <c r="D52" s="81">
        <v>-82318</v>
      </c>
      <c r="E52" s="81">
        <v>-96453</v>
      </c>
      <c r="F52" s="81">
        <v>-100530</v>
      </c>
      <c r="G52" s="81">
        <v>-107950</v>
      </c>
      <c r="H52" s="81">
        <v>-119143</v>
      </c>
      <c r="I52" s="10"/>
      <c r="J52" s="10"/>
      <c r="K52" s="10"/>
    </row>
    <row r="53" spans="3:11">
      <c r="C53" s="34"/>
      <c r="D53" s="34"/>
      <c r="E53" s="34"/>
      <c r="F53" s="34"/>
      <c r="G53" s="34"/>
      <c r="H53" s="34"/>
      <c r="I53" s="10"/>
      <c r="J53" s="10"/>
      <c r="K53" s="10"/>
    </row>
    <row r="54" spans="3:11" s="2" customFormat="1" ht="15" customHeight="1"/>
    <row r="55" spans="3:11" hidden="1">
      <c r="C55" s="34"/>
      <c r="D55" s="34"/>
      <c r="E55" s="34"/>
      <c r="F55" s="34"/>
      <c r="G55" s="34"/>
      <c r="H55" s="34"/>
      <c r="I55" s="10"/>
      <c r="J55" s="10"/>
      <c r="K55" s="10"/>
    </row>
    <row r="56" spans="3:11" hidden="1">
      <c r="C56" s="34"/>
      <c r="D56" s="34"/>
      <c r="E56" s="34"/>
      <c r="F56" s="34"/>
      <c r="G56" s="34"/>
      <c r="H56" s="34"/>
      <c r="I56" s="10"/>
      <c r="J56" s="10"/>
      <c r="K56" s="10"/>
    </row>
    <row r="57" spans="3:11" hidden="1">
      <c r="C57" s="34"/>
      <c r="D57" s="34"/>
      <c r="E57" s="34"/>
      <c r="F57" s="34"/>
      <c r="G57" s="34"/>
      <c r="H57" s="34"/>
      <c r="I57" s="10"/>
      <c r="J57" s="10"/>
      <c r="K57" s="10"/>
    </row>
    <row r="58" spans="3:11" hidden="1">
      <c r="C58" s="34"/>
      <c r="D58" s="34"/>
      <c r="E58" s="34"/>
      <c r="F58" s="34"/>
      <c r="G58" s="34"/>
      <c r="H58" s="34"/>
      <c r="I58" s="10"/>
      <c r="J58" s="10"/>
      <c r="K58" s="10"/>
    </row>
    <row r="59" spans="3:11" hidden="1">
      <c r="C59" s="34"/>
      <c r="D59" s="34"/>
      <c r="E59" s="34"/>
      <c r="F59" s="34"/>
      <c r="G59" s="34"/>
      <c r="H59" s="34"/>
      <c r="I59" s="10"/>
      <c r="J59" s="10"/>
      <c r="K59" s="10"/>
    </row>
    <row r="60" spans="3:11" hidden="1">
      <c r="C60" s="34"/>
      <c r="D60" s="34"/>
      <c r="E60" s="34"/>
      <c r="F60" s="34"/>
      <c r="G60" s="34"/>
      <c r="H60" s="34"/>
      <c r="I60" s="10"/>
      <c r="J60" s="10"/>
      <c r="K60" s="10"/>
    </row>
    <row r="61" spans="3:11" hidden="1">
      <c r="C61" s="34"/>
      <c r="D61" s="34"/>
      <c r="E61" s="34"/>
      <c r="F61" s="34"/>
      <c r="G61" s="34"/>
      <c r="H61" s="34"/>
      <c r="I61" s="10"/>
      <c r="J61" s="10"/>
      <c r="K61" s="10"/>
    </row>
    <row r="62" spans="3:11" hidden="1">
      <c r="C62" s="34"/>
      <c r="D62" s="34"/>
      <c r="E62" s="34"/>
      <c r="F62" s="34"/>
      <c r="G62" s="34"/>
      <c r="H62" s="34"/>
      <c r="I62" s="10"/>
      <c r="J62" s="10"/>
      <c r="K62" s="10"/>
    </row>
    <row r="63" spans="3:11" hidden="1">
      <c r="C63" s="34"/>
      <c r="D63" s="34"/>
      <c r="E63" s="34"/>
      <c r="F63" s="34"/>
      <c r="G63" s="34"/>
      <c r="H63" s="34"/>
      <c r="I63" s="10"/>
      <c r="J63" s="10"/>
      <c r="K63" s="10"/>
    </row>
    <row r="64" spans="3:11" hidden="1">
      <c r="C64" s="34"/>
      <c r="D64" s="34"/>
      <c r="E64" s="34"/>
      <c r="F64" s="34"/>
      <c r="G64" s="34"/>
      <c r="H64" s="34"/>
      <c r="I64" s="10"/>
      <c r="J64" s="10"/>
      <c r="K64" s="10"/>
    </row>
    <row r="65" spans="9:11" hidden="1">
      <c r="I65" s="10"/>
      <c r="J65" s="10"/>
      <c r="K65" s="10"/>
    </row>
    <row r="66" spans="9:11" hidden="1">
      <c r="I66" s="10"/>
      <c r="J66" s="10"/>
      <c r="K66" s="10"/>
    </row>
    <row r="67" spans="9:11" hidden="1">
      <c r="I67" s="10"/>
      <c r="J67" s="10"/>
      <c r="K67" s="10"/>
    </row>
    <row r="68" spans="9:11" hidden="1">
      <c r="I68" s="10"/>
      <c r="J68" s="10"/>
      <c r="K68" s="10"/>
    </row>
    <row r="69" spans="9:11" hidden="1">
      <c r="I69" s="10"/>
      <c r="J69" s="10"/>
      <c r="K69" s="10"/>
    </row>
    <row r="70" spans="9:11" hidden="1">
      <c r="I70" s="10"/>
      <c r="J70" s="10"/>
      <c r="K70" s="10"/>
    </row>
    <row r="71" spans="9:11" hidden="1">
      <c r="I71" s="10"/>
      <c r="J71" s="10"/>
      <c r="K71" s="10"/>
    </row>
    <row r="72" spans="9:11" hidden="1">
      <c r="I72" s="10"/>
      <c r="J72" s="10"/>
      <c r="K72" s="10"/>
    </row>
    <row r="73" spans="9:11" hidden="1">
      <c r="I73" s="10"/>
      <c r="J73" s="10"/>
      <c r="K73" s="10"/>
    </row>
    <row r="74" spans="9:11" hidden="1">
      <c r="I74" s="10"/>
      <c r="J74" s="10"/>
      <c r="K74" s="10"/>
    </row>
    <row r="75" spans="9:11" hidden="1">
      <c r="I75" s="10"/>
      <c r="J75" s="10"/>
      <c r="K75" s="10"/>
    </row>
    <row r="76" spans="9:11" hidden="1">
      <c r="I76" s="10"/>
      <c r="J76" s="10"/>
      <c r="K76" s="10"/>
    </row>
    <row r="77" spans="9:11" hidden="1">
      <c r="I77" s="10"/>
      <c r="J77" s="10"/>
      <c r="K77" s="10"/>
    </row>
    <row r="78" spans="9:11" hidden="1">
      <c r="I78" s="10"/>
      <c r="J78" s="10"/>
      <c r="K78" s="10"/>
    </row>
    <row r="79" spans="9:11" hidden="1">
      <c r="I79" s="10"/>
      <c r="J79" s="10"/>
      <c r="K79" s="10"/>
    </row>
    <row r="80" spans="9:11" hidden="1">
      <c r="I80" s="10"/>
      <c r="J80" s="10"/>
      <c r="K80" s="10"/>
    </row>
    <row r="81" spans="9:11" hidden="1">
      <c r="I81" s="10"/>
      <c r="J81" s="10"/>
      <c r="K81" s="10"/>
    </row>
    <row r="82" spans="9:11" hidden="1">
      <c r="I82" s="10"/>
      <c r="J82" s="10"/>
      <c r="K82" s="10"/>
    </row>
    <row r="83" spans="9:11" hidden="1">
      <c r="I83" s="10"/>
      <c r="J83" s="10"/>
      <c r="K83" s="10"/>
    </row>
    <row r="84" spans="9:11" hidden="1">
      <c r="I84" s="10"/>
      <c r="J84" s="10"/>
      <c r="K84" s="10"/>
    </row>
    <row r="85" spans="9:11" hidden="1">
      <c r="I85" s="10"/>
      <c r="J85" s="10"/>
      <c r="K85" s="10"/>
    </row>
    <row r="86" spans="9:11" hidden="1">
      <c r="I86" s="10"/>
      <c r="J86" s="10"/>
      <c r="K86" s="10"/>
    </row>
    <row r="87" spans="9:11" hidden="1">
      <c r="I87" s="10"/>
      <c r="J87" s="10"/>
      <c r="K87" s="10"/>
    </row>
    <row r="88" spans="9:11" hidden="1">
      <c r="I88" s="10"/>
      <c r="J88" s="10"/>
      <c r="K88" s="10"/>
    </row>
    <row r="89" spans="9:11" hidden="1">
      <c r="I89" s="10"/>
      <c r="J89" s="10"/>
      <c r="K89" s="10"/>
    </row>
    <row r="90" spans="9:11" hidden="1">
      <c r="I90" s="10"/>
      <c r="J90" s="10"/>
      <c r="K90" s="10"/>
    </row>
    <row r="91" spans="9:11" hidden="1">
      <c r="I91" s="10"/>
      <c r="J91" s="10"/>
      <c r="K91" s="10"/>
    </row>
    <row r="92" spans="9:11" hidden="1"/>
    <row r="93" spans="9:11" hidden="1"/>
    <row r="94" spans="9:11" hidden="1"/>
    <row r="95" spans="9:11" hidden="1"/>
    <row r="96" spans="9:11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</sheetData>
  <mergeCells count="2">
    <mergeCell ref="D5:H5"/>
    <mergeCell ref="I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Dashboard</vt:lpstr>
      <vt:lpstr>Template</vt:lpstr>
      <vt:lpstr>Revenue Drivers</vt:lpstr>
      <vt:lpstr>Assumptions</vt:lpstr>
      <vt:lpstr>Income Statement</vt:lpstr>
      <vt:lpstr>Balance Sheet</vt:lpstr>
      <vt:lpstr>FAM</vt:lpstr>
      <vt:lpstr>Cash Flow Statement</vt:lpstr>
      <vt:lpstr>Company_Name</vt:lpstr>
      <vt:lpstr>Currency</vt:lpstr>
      <vt:lpstr>Last_Financial_Period</vt:lpstr>
      <vt:lpstr>LIBOR</vt:lpstr>
      <vt:lpstr>Ticker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2018-09-28T05:18:20Z</dcterms:created>
  <dcterms:modified xsi:type="dcterms:W3CDTF">2020-08-15T11:20:52Z</dcterms:modified>
</cp:coreProperties>
</file>